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d.docs.live.net/f941423285966f53/Desktop/Books/Money Habits Practical Financial Strategies for Real Life/Downloads/Final Downloads/"/>
    </mc:Choice>
  </mc:AlternateContent>
  <xr:revisionPtr revIDLastSave="0" documentId="8_{DE3FF128-FA30-4C8F-9C35-85D3025AC629}" xr6:coauthVersionLast="47" xr6:coauthVersionMax="47" xr10:uidLastSave="{00000000-0000-0000-0000-000000000000}"/>
  <bookViews>
    <workbookView xWindow="-120" yWindow="-120" windowWidth="29040" windowHeight="15840" xr2:uid="{00000000-000D-0000-FFFF-FFFF00000000}"/>
  </bookViews>
  <sheets>
    <sheet name="Start Here" sheetId="1" r:id="rId1"/>
    <sheet name="Payoff Planner" sheetId="2" r:id="rId2"/>
    <sheet name="Monthly Progress" sheetId="3" r:id="rId3"/>
    <sheet name="Instructions" sheetId="4" r:id="rId4"/>
    <sheet name="Lists"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0" i="3" l="1"/>
  <c r="E30" i="3"/>
  <c r="B30" i="3"/>
  <c r="A30" i="3"/>
  <c r="F29" i="3"/>
  <c r="E29" i="3"/>
  <c r="B29" i="3"/>
  <c r="A29" i="3"/>
  <c r="F28" i="3"/>
  <c r="E28" i="3"/>
  <c r="B28" i="3"/>
  <c r="A28" i="3"/>
  <c r="F27" i="3"/>
  <c r="E27" i="3"/>
  <c r="B27" i="3"/>
  <c r="A27" i="3"/>
  <c r="F26" i="3"/>
  <c r="E26" i="3"/>
  <c r="B26" i="3"/>
  <c r="A26" i="3"/>
  <c r="F25" i="3"/>
  <c r="E25" i="3"/>
  <c r="B25" i="3"/>
  <c r="A25" i="3"/>
  <c r="F24" i="3"/>
  <c r="E24" i="3"/>
  <c r="B24" i="3"/>
  <c r="A24" i="3"/>
  <c r="F23" i="3"/>
  <c r="E23" i="3"/>
  <c r="B23" i="3"/>
  <c r="A23" i="3"/>
  <c r="F22" i="3"/>
  <c r="E22" i="3"/>
  <c r="B22" i="3"/>
  <c r="A22" i="3"/>
  <c r="F21" i="3"/>
  <c r="E21" i="3"/>
  <c r="B21" i="3"/>
  <c r="A21" i="3"/>
  <c r="F20" i="3"/>
  <c r="E20" i="3"/>
  <c r="B20" i="3"/>
  <c r="A20" i="3"/>
  <c r="F19" i="3"/>
  <c r="E19" i="3"/>
  <c r="B19" i="3"/>
  <c r="A19" i="3"/>
  <c r="F18" i="3"/>
  <c r="E18" i="3"/>
  <c r="B18" i="3"/>
  <c r="A18" i="3"/>
  <c r="F17" i="3"/>
  <c r="E17" i="3"/>
  <c r="B17" i="3"/>
  <c r="A17" i="3"/>
  <c r="F16" i="3"/>
  <c r="E16" i="3"/>
  <c r="B16" i="3"/>
  <c r="A16" i="3"/>
  <c r="F15" i="3"/>
  <c r="E15" i="3"/>
  <c r="B15" i="3"/>
  <c r="A15" i="3"/>
  <c r="F14" i="3"/>
  <c r="E14" i="3"/>
  <c r="B14" i="3"/>
  <c r="A14" i="3"/>
  <c r="F13" i="3"/>
  <c r="E13" i="3"/>
  <c r="B13" i="3"/>
  <c r="A13" i="3"/>
  <c r="F12" i="3"/>
  <c r="E12" i="3"/>
  <c r="B12" i="3"/>
  <c r="A12" i="3"/>
  <c r="F11" i="3"/>
  <c r="E11" i="3"/>
  <c r="B11" i="3"/>
  <c r="A11" i="3"/>
  <c r="F10" i="3"/>
  <c r="E10" i="3"/>
  <c r="B10" i="3"/>
  <c r="A10" i="3"/>
  <c r="F9" i="3"/>
  <c r="E9" i="3"/>
  <c r="B9" i="3"/>
  <c r="A9" i="3"/>
  <c r="F8" i="3"/>
  <c r="E8" i="3"/>
  <c r="B8" i="3"/>
  <c r="A8" i="3"/>
  <c r="F7" i="3"/>
  <c r="E7" i="3"/>
  <c r="A7" i="3"/>
  <c r="E6" i="2"/>
  <c r="B6" i="2"/>
  <c r="I32" i="1"/>
  <c r="H32" i="1"/>
  <c r="G32" i="1"/>
  <c r="F32" i="1"/>
  <c r="I31" i="1"/>
  <c r="H31" i="1"/>
  <c r="G31" i="1"/>
  <c r="F31" i="1"/>
  <c r="I30" i="1"/>
  <c r="H30" i="1"/>
  <c r="G30" i="1"/>
  <c r="F30" i="1"/>
  <c r="I29" i="1"/>
  <c r="H29" i="1"/>
  <c r="G29" i="1"/>
  <c r="F29" i="1"/>
  <c r="I28" i="1"/>
  <c r="G28" i="1"/>
  <c r="F28" i="1"/>
  <c r="H28" i="1" s="1"/>
  <c r="I27" i="1"/>
  <c r="G27" i="1"/>
  <c r="F27" i="1"/>
  <c r="H27" i="1" s="1"/>
  <c r="I26" i="1"/>
  <c r="G26" i="1"/>
  <c r="F26" i="1"/>
  <c r="H26" i="1" s="1"/>
  <c r="I25" i="1"/>
  <c r="G25" i="1"/>
  <c r="F25" i="1"/>
  <c r="H25" i="1" s="1"/>
  <c r="I24" i="1"/>
  <c r="G24" i="1"/>
  <c r="F24" i="1"/>
  <c r="H24" i="1" s="1"/>
  <c r="I23" i="1"/>
  <c r="G23" i="1"/>
  <c r="F23" i="1"/>
  <c r="H23" i="1" s="1"/>
  <c r="H12" i="1"/>
  <c r="E12" i="1"/>
  <c r="B12" i="1"/>
  <c r="E11" i="1"/>
  <c r="H11" i="1" s="1"/>
  <c r="B9" i="2" s="1"/>
  <c r="B11" i="1"/>
  <c r="B14" i="2" l="1"/>
  <c r="C14" i="2"/>
  <c r="D14" i="2"/>
  <c r="E14" i="2"/>
  <c r="F14" i="2"/>
  <c r="B15" i="2"/>
  <c r="C15" i="2"/>
  <c r="D15" i="2"/>
  <c r="E15" i="2"/>
  <c r="F15" i="2"/>
  <c r="B16" i="2"/>
  <c r="C16" i="2"/>
  <c r="D16" i="2"/>
  <c r="E16" i="2"/>
  <c r="F16" i="2"/>
  <c r="B17" i="2"/>
  <c r="E17" i="2"/>
  <c r="C18" i="2"/>
  <c r="F18" i="2"/>
  <c r="C19" i="2"/>
  <c r="F19" i="2"/>
  <c r="C20" i="2"/>
  <c r="D20" i="2"/>
  <c r="E20" i="2"/>
  <c r="F20" i="2"/>
  <c r="B21" i="2"/>
  <c r="C21" i="2"/>
  <c r="D17" i="2"/>
  <c r="B18" i="2"/>
  <c r="E18" i="2"/>
  <c r="D19" i="2"/>
  <c r="D21" i="2"/>
  <c r="F21" i="2"/>
  <c r="C22" i="2"/>
  <c r="E22" i="2"/>
  <c r="F22" i="2"/>
  <c r="B23" i="2"/>
  <c r="C23" i="2"/>
  <c r="F23" i="2"/>
  <c r="C17" i="2"/>
  <c r="F17" i="2"/>
  <c r="D18" i="2"/>
  <c r="B19" i="2"/>
  <c r="E19" i="2"/>
  <c r="B20" i="2"/>
  <c r="E21" i="2"/>
  <c r="B22" i="2"/>
  <c r="D22" i="2"/>
  <c r="D23" i="2"/>
  <c r="E23" i="2"/>
  <c r="E9" i="2"/>
  <c r="B7" i="3"/>
  <c r="G14" i="2" l="1"/>
  <c r="H14" i="2"/>
  <c r="G15" i="2"/>
  <c r="G16" i="2"/>
  <c r="G17" i="2"/>
  <c r="H17" i="2"/>
  <c r="G21" i="2"/>
  <c r="H21" i="2"/>
  <c r="I21" i="2"/>
  <c r="J21" i="2"/>
  <c r="G18" i="2"/>
  <c r="H18" i="2" s="1"/>
  <c r="G23" i="2"/>
  <c r="H23" i="2"/>
  <c r="I23" i="2"/>
  <c r="J23" i="2"/>
  <c r="G19" i="2"/>
  <c r="H19" i="2" s="1"/>
  <c r="G20" i="2"/>
  <c r="H20" i="2"/>
  <c r="I20" i="2"/>
  <c r="J20" i="2"/>
  <c r="G22" i="2"/>
  <c r="H22" i="2"/>
  <c r="I22" i="2"/>
  <c r="J22" i="2"/>
  <c r="I14" i="2" l="1"/>
  <c r="J14" i="2"/>
  <c r="H15" i="2"/>
  <c r="J15" i="2" s="1"/>
  <c r="E7" i="2" s="1"/>
  <c r="H16" i="2"/>
  <c r="I16" i="2" s="1"/>
  <c r="J16" i="2"/>
  <c r="I17" i="2"/>
  <c r="J17" i="2"/>
  <c r="J18" i="2"/>
  <c r="I18" i="2"/>
  <c r="I19" i="2"/>
  <c r="J19" i="2"/>
  <c r="B7" i="2" l="1"/>
  <c r="I15" i="2"/>
  <c r="B8" i="2" l="1"/>
  <c r="E13" i="1" s="1"/>
  <c r="E8" i="2"/>
  <c r="H13" i="1" s="1"/>
  <c r="B13" i="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<sst xmlns="http://schemas.openxmlformats.org/spreadsheetml/2006/main" count="94" uniqueCount="77">
  <si>
    <t>Money Habits Debt Eliminator Planner Worksheet</t>
  </si>
  <si>
    <t>Companion to Money Habits: Practical Financial Strategies for Real Life</t>
  </si>
  <si>
    <t>This worksheet accompanies Chapter 4 and will help you create a debt elemination plan.</t>
  </si>
  <si>
    <t>Replace the sample debts with your own. Enter only in the shaded input cells; calculated cells update automatically.</t>
  </si>
  <si>
    <t>Estimated Time
10–15 minutes</t>
  </si>
  <si>
    <t>Planner Setup and Debt Snapshot</t>
  </si>
  <si>
    <t>Extra Monthly Payment</t>
  </si>
  <si>
    <t>Strategy</t>
  </si>
  <si>
    <t>Debt Snowball</t>
  </si>
  <si>
    <t>Start Date</t>
  </si>
  <si>
    <t>Total Debt</t>
  </si>
  <si>
    <t>Total Minimum Payments</t>
  </si>
  <si>
    <t>Total Monthly Debt Budget</t>
  </si>
  <si>
    <t>Number of Debts</t>
  </si>
  <si>
    <t>Highest Interest Rate</t>
  </si>
  <si>
    <t>Smallest Balance</t>
  </si>
  <si>
    <t>Estimated Debt-Free Months</t>
  </si>
  <si>
    <t>Estimated Debt-Free Years</t>
  </si>
  <si>
    <t>Estimated Debt-Free Date</t>
  </si>
  <si>
    <t>This workbook provides an estimate, not a promise. It assumes no new debt, fixed interest rates, fixed minimum payments, and that freed-up payments are rolled into the next debt.</t>
  </si>
  <si>
    <t>Debt Entry</t>
  </si>
  <si>
    <t>Debt Name</t>
  </si>
  <si>
    <t>Debt Type</t>
  </si>
  <si>
    <t>Current Balance</t>
  </si>
  <si>
    <t>Interest Rate %</t>
  </si>
  <si>
    <t>Minimum Payment</t>
  </si>
  <si>
    <t>Snowball Rank</t>
  </si>
  <si>
    <t>Avalanche Rank</t>
  </si>
  <si>
    <t>Selected Rank</t>
  </si>
  <si>
    <t>Input Status</t>
  </si>
  <si>
    <t>Best Buy Card</t>
  </si>
  <si>
    <t>Store Card</t>
  </si>
  <si>
    <t>Capital One</t>
  </si>
  <si>
    <t>Credit Card</t>
  </si>
  <si>
    <t>Visa Platinum</t>
  </si>
  <si>
    <t>ABC Personal Loan</t>
  </si>
  <si>
    <t>Personal Loan</t>
  </si>
  <si>
    <t>Federal Student Loan</t>
  </si>
  <si>
    <t>Student Loan</t>
  </si>
  <si>
    <t>Ford Motor Credit</t>
  </si>
  <si>
    <t>Auto Loan</t>
  </si>
  <si>
    <t>Money Habits Debt Eliminator Payoff Planner</t>
  </si>
  <si>
    <t>Selected Strategy</t>
  </si>
  <si>
    <t>Estimated Total Months</t>
  </si>
  <si>
    <t>Total Interest Estimate</t>
  </si>
  <si>
    <t>Estimated Total Years</t>
  </si>
  <si>
    <t>Starting Debt</t>
  </si>
  <si>
    <t>Order</t>
  </si>
  <si>
    <t>Balance Owed</t>
  </si>
  <si>
    <t>Est. Months</t>
  </si>
  <si>
    <t>Est. Years</t>
  </si>
  <si>
    <t>Interest Estimate</t>
  </si>
  <si>
    <t>Money Habits Debt Payoff Progress Tracker</t>
  </si>
  <si>
    <t>Use this tab to track your actual progress each month. Enter the month-end total debt balance and payments made.</t>
  </si>
  <si>
    <t>Ending Debt Balance</t>
  </si>
  <si>
    <t>Payments Made</t>
  </si>
  <si>
    <t>Debt Reduced</t>
  </si>
  <si>
    <t>Progress %</t>
  </si>
  <si>
    <t>Money Habits Debt Eliminator Planner Worksheet – Instructions</t>
  </si>
  <si>
    <t>How to use this workbook</t>
  </si>
  <si>
    <t>1. Start on the Start Here tab. Replace the sample debts with your own balances, interest rates, and minimum payments.</t>
  </si>
  <si>
    <t>2. Enter the extra amount you can pay toward debt each month. This amount is added to your minimum payments.</t>
  </si>
  <si>
    <t>3. Choose either Debt Snowball or Debt Avalanche.</t>
  </si>
  <si>
    <t>Debt Snowball pays the smallest balance first. This can create faster visible wins.</t>
  </si>
  <si>
    <t>Debt Avalanche pays the highest interest rate first. This may reduce interest cost over time.</t>
  </si>
  <si>
    <t>4. Review the Payoff Planner tab to see the estimated payoff order and timeline.</t>
  </si>
  <si>
    <t>5. Use the Monthly Progress tab to track your actual results over time.</t>
  </si>
  <si>
    <t>Payment This Month means what you would pay right now. The first unpaid debt gets the extra payment. Debts below it stay at minimum payment until earlier debts are paid off.</t>
  </si>
  <si>
    <t>This workbook is designed for awareness and planning. It is not financial, legal, or tax advice.</t>
  </si>
  <si>
    <t>Setup lists for dropdowns. Users do not need to edit this tab.</t>
  </si>
  <si>
    <t>Debt Avalanche</t>
  </si>
  <si>
    <t>Mortgage</t>
  </si>
  <si>
    <t>Home Equity Loan</t>
  </si>
  <si>
    <t>Other Debt</t>
  </si>
  <si>
    <t>This planner estimates the payoff order based on the strategy selected on Start Here. Payment When Focused shows the estimated amount directed to each debt when it becomes the focus debt. As earlier debts are paid off, their minimum payments roll into the next debt.</t>
  </si>
  <si>
    <t>Payment When Focused</t>
  </si>
  <si>
    <t>Month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</si>
</sst>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0"/>
    <numFmt numFmtId="168" formatCode="mmmm\ yyyy"/>
  </numFmts>
  <fonts count="10">
    <font>
      <sz val="11"/>
      <name val="Carlito"/>
    </font>
    <font>
      <b/>
      <sz val="14"/>
      <color rgb="FFFFFFFF"/>
      <name val="Carlito"/>
    </font>
    <font>
      <i/>
      <sz val="11"/>
      <color rgb="FF475569"/>
      <name val="Carlito"/>
    </font>
    <font>
      <b/>
      <sz val="11"/>
      <color rgb="FFFFFFFF"/>
      <name val="Carlito"/>
    </font>
    <font>
      <b/>
      <sz val="11"/>
      <name val="Carlito"/>
    </font>
    <font>
      <b/>
      <sz val="11"/>
      <color rgb="FF92400E"/>
      <name val="Carlito"/>
    </font>
    <font>
      <i/>
      <sz val="11"/>
      <name val="Carlito"/>
    </font>
    <font>
      <b/>
      <sz val="12"/>
      <color rgb="FFFFFFFF"/>
      <name val="Carlito"/>
    </font>
    <font>
      <i/>
      <sz val="12"/>
      <color rgb="FF111827"/>
      <name val="Carlito"/>
    </font>
    <font>
      <sz val="11"/>
      <color rgb="FF111827"/>
      <name val="Carlito"/>
    </font>
  </fonts>
  <fills count="14">
    <fill>
      <patternFill patternType="none"/>
    </fill>
    <fill>
      <patternFill patternType="gray125"/>
    </fill>
    <fill>
      <patternFill patternType="solid">
        <fgColor rgb="FF2563EB"/>
      </patternFill>
    </fill>
    <fill>
      <patternFill patternType="solid">
        <fgColor rgb="FFF8FAFC"/>
      </patternFill>
    </fill>
    <fill>
      <patternFill patternType="solid">
        <fgColor rgb="FFF1F5F9"/>
      </patternFill>
    </fill>
    <fill>
      <patternFill patternType="solid">
        <fgColor rgb="FFFFF7ED"/>
      </patternFill>
    </fill>
    <fill>
      <patternFill patternType="solid">
        <fgColor rgb="FFFEF3C7"/>
      </patternFill>
    </fill>
    <fill>
      <patternFill patternType="solid">
        <fgColor rgb="FFDBEAFE"/>
      </patternFill>
    </fill>
    <fill>
      <patternFill patternType="solid">
        <fgColor rgb="FFDBEAFE"/>
      </patternFill>
    </fill>
    <fill>
      <patternFill patternType="solid">
        <fgColor rgb="FF0F766E"/>
      </patternFill>
    </fill>
    <fill>
      <patternFill patternType="solid">
        <fgColor rgb="FFF28C48"/>
      </patternFill>
    </fill>
    <fill>
      <patternFill patternType="solid">
        <fgColor rgb="FFF28C48"/>
      </patternFill>
    </fill>
    <fill>
      <patternFill patternType="solid">
        <fgColor rgb="FFFFFFFF"/>
      </patternFill>
    </fill>
    <fill>
      <patternFill patternType="solid">
        <fgColor rgb="FFFFF2CC"/>
      </patternFill>
    </fill>
  </fills>
  <borders count="1">
    <border>
      <left/>
      <right/>
      <top/>
      <bottom/>
      <diagonal/>
    </border>
  </borders>
  <cellStyleXfs count="1">
    <xf numFmtId="0" fontId="0" fillId="0" borderId="0"/>
  </cellStyleXfs>
  <cellXfs count="40">
    <xf numFmtId="0" fontId="0" fillId="0" borderId="0" xfId="0"/>
    <xf numFmtId="0" fontId="4" fillId="4" borderId="0" xfId="0" applyFont="1" applyFill="1" applyAlignment="1">
      <alignment wrapText="1"/>
    </xf>
    <xf numFmtId="0" fontId="4" fillId="7" borderId="0" xfId="0" applyFont="1" applyFill="1" applyAlignment="1">
      <alignment horizontal="center" wrapText="1"/>
    </xf>
    <xf numFmtId="0" fontId="0" fillId="5" borderId="0" xfId="0" applyFill="1" applyAlignment="1">
      <alignment wrapText="1"/>
    </xf>
    <xf numFmtId="0" fontId="6" fillId="4" borderId="0" xfId="0" applyFont="1" applyFill="1" applyAlignment="1">
      <alignment wrapText="1"/>
    </xf>
    <xf numFmtId="164" fontId="0" fillId="5" borderId="0" xfId="0" applyNumberFormat="1" applyFill="1" applyAlignment="1">
      <alignment wrapText="1"/>
    </xf>
    <xf numFmtId="2" fontId="0" fillId="5" borderId="0" xfId="0" applyNumberFormat="1" applyFill="1" applyAlignment="1">
      <alignment wrapText="1"/>
    </xf>
    <xf numFmtId="164" fontId="4" fillId="4" borderId="0" xfId="0" applyNumberFormat="1" applyFont="1" applyFill="1" applyAlignment="1">
      <alignment wrapText="1"/>
    </xf>
    <xf numFmtId="1" fontId="4" fillId="4" borderId="0" xfId="0" applyNumberFormat="1" applyFont="1" applyFill="1" applyAlignment="1">
      <alignment wrapText="1"/>
    </xf>
    <xf numFmtId="2" fontId="4" fillId="4" borderId="0" xfId="0" applyNumberFormat="1" applyFont="1" applyFill="1" applyAlignment="1">
      <alignment wrapText="1"/>
    </xf>
    <xf numFmtId="165" fontId="4" fillId="4" borderId="0" xfId="0" applyNumberFormat="1" applyFont="1" applyFill="1" applyAlignment="1">
      <alignment wrapText="1"/>
    </xf>
    <xf numFmtId="0" fontId="0" fillId="0" borderId="0" xfId="0" applyAlignment="1">
      <alignment wrapText="1"/>
    </xf>
    <xf numFmtId="164" fontId="0" fillId="0" borderId="0" xfId="0" applyNumberFormat="1" applyAlignment="1">
      <alignment wrapText="1"/>
    </xf>
    <xf numFmtId="2" fontId="0" fillId="0" borderId="0" xfId="0" applyNumberFormat="1" applyAlignment="1">
      <alignment wrapText="1"/>
    </xf>
    <xf numFmtId="1" fontId="0" fillId="0" borderId="0" xfId="0" applyNumberFormat="1" applyAlignment="1">
      <alignment wrapText="1"/>
    </xf>
    <xf numFmtId="165" fontId="0" fillId="0" borderId="0" xfId="0" applyNumberFormat="1" applyAlignment="1">
      <alignment wrapText="1"/>
    </xf>
    <xf numFmtId="0" fontId="4" fillId="7" borderId="0" xfId="0" applyFont="1" applyFill="1" applyAlignment="1">
      <alignment horizontal="center"/>
    </xf>
    <xf numFmtId="164" fontId="0" fillId="5" borderId="0" xfId="0" applyNumberFormat="1" applyFill="1"/>
    <xf numFmtId="164" fontId="0" fillId="4" borderId="0" xfId="0" applyNumberFormat="1" applyFill="1"/>
    <xf numFmtId="0" fontId="4" fillId="0" borderId="0" xfId="0" applyFont="1" applyAlignment="1">
      <alignment wrapText="1"/>
    </xf>
    <xf numFmtId="0" fontId="4" fillId="8" borderId="0" xfId="0" applyFont="1" applyFill="1" applyAlignment="1">
      <alignment horizontal="center" wrapText="1"/>
    </xf>
    <xf numFmtId="0" fontId="0" fillId="10" borderId="0" xfId="0" applyFill="1"/>
    <xf numFmtId="0" fontId="7" fillId="0" borderId="0" xfId="0" applyFont="1" applyAlignment="1">
      <alignment horizontal="center" vertical="center" wrapText="1"/>
    </xf>
    <xf numFmtId="0" fontId="8" fillId="12" borderId="0" xfId="0" applyFont="1" applyFill="1"/>
    <xf numFmtId="168" fontId="0" fillId="0" borderId="0" xfId="0" applyNumberFormat="1"/>
    <xf numFmtId="9" fontId="0" fillId="4" borderId="0" xfId="0" applyNumberFormat="1" applyFill="1"/>
    <xf numFmtId="168" fontId="4" fillId="4" borderId="0" xfId="0" applyNumberFormat="1" applyFont="1" applyFill="1" applyAlignment="1">
      <alignment wrapText="1"/>
    </xf>
    <xf numFmtId="168" fontId="4" fillId="13" borderId="0" xfId="0" applyNumberFormat="1" applyFont="1" applyFill="1" applyAlignment="1">
      <alignment wrapText="1"/>
    </xf>
    <xf numFmtId="164" fontId="4" fillId="13" borderId="0" xfId="0" applyNumberFormat="1" applyFont="1" applyFill="1" applyAlignment="1">
      <alignment wrapText="1"/>
    </xf>
    <xf numFmtId="0" fontId="4" fillId="13" borderId="0" xfId="0" applyFont="1" applyFill="1" applyAlignment="1">
      <alignment wrapText="1"/>
    </xf>
    <xf numFmtId="0" fontId="0" fillId="0" borderId="0" xfId="0" applyAlignment="1">
      <alignment horizontal="center"/>
    </xf>
    <xf numFmtId="0" fontId="7" fillId="11" borderId="0" xfId="0" applyFont="1" applyFill="1" applyAlignment="1">
      <alignment horizontal="center" vertical="center" wrapText="1"/>
    </xf>
    <xf numFmtId="0" fontId="2" fillId="3" borderId="0" xfId="0" applyFont="1" applyFill="1" applyAlignment="1">
      <alignment wrapText="1"/>
    </xf>
    <xf numFmtId="0" fontId="9" fillId="12" borderId="0" xfId="0" applyFont="1" applyFill="1" applyAlignment="1">
      <alignment vertical="top" wrapText="1"/>
    </xf>
    <xf numFmtId="0" fontId="1" fillId="9" borderId="0" xfId="0" applyFont="1" applyFill="1" applyAlignment="1">
      <alignment horizontal="center"/>
    </xf>
    <xf numFmtId="0" fontId="0" fillId="9" borderId="0" xfId="0" applyFill="1"/>
    <xf numFmtId="0" fontId="3" fillId="9" borderId="0" xfId="0" applyFont="1" applyFill="1" applyAlignment="1">
      <alignment horizontal="center"/>
    </xf>
    <xf numFmtId="0" fontId="5" fillId="6" borderId="0" xfId="0" applyFont="1" applyFill="1" applyAlignment="1">
      <alignment wrapText="1"/>
    </xf>
    <xf numFmtId="0" fontId="0" fillId="0" borderId="0" xfId="0"/>
    <xf numFmtId="0" fontId="1" fillId="2" borderId="0" xfId="0" applyFont="1" applyFill="1" applyAlignment="1">
      <alignment horizontal="center"/>
    </xf>
  </cellXfs>
  <cellStyles count="1">
    <cellStyle name="Normal" xfId="0" builtinId="0"/>
  </cellStyles>
  <dxfs count="1">
    <dxf>
      <font>
        <color rgb="FF991B1B"/>
      </font>
      <fill>
        <patternFill>
          <bgColor rgb="FFFEE2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worksheet" Target="worksheets/sheet5.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rPr lang="en-US"/>
              <a:t>Debt Balance Over Time</a:t>
            </a:r>
          </a:p>
        </c:rich>
      </c:tx>
      <c:overlay val="0"/>
    </c:title>
    <c:autoTitleDeleted val="0"/>
    <c:plotArea>
      <c:layout/>
      <c:lineChart>
        <c:grouping val="standard"/>
        <c:varyColors val="1"/>
        <c:ser>
          <c:idx val="0"/>
          <c:order val="0"/>
          <c:tx>
            <c:v>Starting Debt</c:v>
          </c:tx>
          <c:cat>
            <c:numRef>
              <c:f>'Monthly Progress'!$A$7:$A$30</c:f>
              <c:numCache>
                <c:formatCode>mmmm\ yyyy</c:formatCode>
                <c:ptCount val="24"/>
                <c:pt idx="0">
                  <c:v>46207</c:v>
                </c:pt>
                <c:pt idx="1">
                  <c:v>46238</c:v>
                </c:pt>
                <c:pt idx="2">
                  <c:v>46269</c:v>
                </c:pt>
                <c:pt idx="3">
                  <c:v>46299</c:v>
                </c:pt>
                <c:pt idx="4">
                  <c:v>46330</c:v>
                </c:pt>
                <c:pt idx="5">
                  <c:v>46360</c:v>
                </c:pt>
                <c:pt idx="6">
                  <c:v>46391</c:v>
                </c:pt>
                <c:pt idx="7">
                  <c:v>46422</c:v>
                </c:pt>
                <c:pt idx="8">
                  <c:v>46450</c:v>
                </c:pt>
                <c:pt idx="9">
                  <c:v>46481</c:v>
                </c:pt>
                <c:pt idx="10">
                  <c:v>46511</c:v>
                </c:pt>
                <c:pt idx="11">
                  <c:v>46542</c:v>
                </c:pt>
                <c:pt idx="12">
                  <c:v>46572</c:v>
                </c:pt>
                <c:pt idx="13">
                  <c:v>46603</c:v>
                </c:pt>
                <c:pt idx="14">
                  <c:v>46634</c:v>
                </c:pt>
                <c:pt idx="15">
                  <c:v>46664</c:v>
                </c:pt>
                <c:pt idx="16">
                  <c:v>46695</c:v>
                </c:pt>
                <c:pt idx="17">
                  <c:v>46725</c:v>
                </c:pt>
                <c:pt idx="18">
                  <c:v>46756</c:v>
                </c:pt>
                <c:pt idx="19">
                  <c:v>46787</c:v>
                </c:pt>
                <c:pt idx="20">
                  <c:v>46816</c:v>
                </c:pt>
                <c:pt idx="21">
                  <c:v>46847</c:v>
                </c:pt>
                <c:pt idx="22">
                  <c:v>46877</c:v>
                </c:pt>
                <c:pt idx="23">
                  <c:v>46908</c:v>
                </c:pt>
              </c:numCache>
            </c:numRef>
          </c:cat>
          <c:val>
            <c:numRef>
              <c:f>'Monthly Progress'!$B$7:$B$30</c:f>
              <c:numCache>
                <c:formatCode>\$#,##0</c:formatCode>
                <c:ptCount val="24"/>
                <c:pt idx="0">
                  <c:v>31550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0-BEC3-4664-A87F-1EC225FC50ED}"/>
            </c:ext>
          </c:extLst>
        </c:ser>
        <c:ser>
          <c:idx val="1"/>
          <c:order val="1"/>
          <c:tx>
            <c:v>Ending Debt Balance</c:v>
          </c:tx>
          <c:cat>
            <c:numRef>
              <c:f>'Monthly Progress'!$A$7:$A$30</c:f>
              <c:numCache>
                <c:formatCode>mmmm\ yyyy</c:formatCode>
                <c:ptCount val="24"/>
                <c:pt idx="0">
                  <c:v>46207</c:v>
                </c:pt>
                <c:pt idx="1">
                  <c:v>46238</c:v>
                </c:pt>
                <c:pt idx="2">
                  <c:v>46269</c:v>
                </c:pt>
                <c:pt idx="3">
                  <c:v>46299</c:v>
                </c:pt>
                <c:pt idx="4">
                  <c:v>46330</c:v>
                </c:pt>
                <c:pt idx="5">
                  <c:v>46360</c:v>
                </c:pt>
                <c:pt idx="6">
                  <c:v>46391</c:v>
                </c:pt>
                <c:pt idx="7">
                  <c:v>46422</c:v>
                </c:pt>
                <c:pt idx="8">
                  <c:v>46450</c:v>
                </c:pt>
                <c:pt idx="9">
                  <c:v>46481</c:v>
                </c:pt>
                <c:pt idx="10">
                  <c:v>46511</c:v>
                </c:pt>
                <c:pt idx="11">
                  <c:v>46542</c:v>
                </c:pt>
                <c:pt idx="12">
                  <c:v>46572</c:v>
                </c:pt>
                <c:pt idx="13">
                  <c:v>46603</c:v>
                </c:pt>
                <c:pt idx="14">
                  <c:v>46634</c:v>
                </c:pt>
                <c:pt idx="15">
                  <c:v>46664</c:v>
                </c:pt>
                <c:pt idx="16">
                  <c:v>46695</c:v>
                </c:pt>
                <c:pt idx="17">
                  <c:v>46725</c:v>
                </c:pt>
                <c:pt idx="18">
                  <c:v>46756</c:v>
                </c:pt>
                <c:pt idx="19">
                  <c:v>46787</c:v>
                </c:pt>
                <c:pt idx="20">
                  <c:v>46816</c:v>
                </c:pt>
                <c:pt idx="21">
                  <c:v>46847</c:v>
                </c:pt>
                <c:pt idx="22">
                  <c:v>46877</c:v>
                </c:pt>
                <c:pt idx="23">
                  <c:v>46908</c:v>
                </c:pt>
              </c:numCache>
            </c:numRef>
          </c:cat>
          <c:val>
            <c:numRef>
              <c:f>'Monthly Progress'!$C$7:$C$30</c:f>
              <c:numCache>
                <c:formatCode>\$#,##0</c:formatCode>
                <c:ptCount val="24"/>
              </c:numCache>
            </c:numRef>
          </c:val>
          <c:smooth val="0"/>
          <c:extLst>
            <c:ext xmlns:c16="http://schemas.microsoft.com/office/drawing/2014/chart" uri="{C3380CC4-5D6E-409C-BE32-E72D297353CC}">
              <c16:uniqueId val="{00000001-BEC3-4664-A87F-1EC225FC50ED}"/>
            </c:ext>
          </c:extLst>
        </c:ser>
        <c:dLbls>
          <c:showLegendKey val="0"/>
          <c:showVal val="0"/>
          <c:showCatName val="0"/>
          <c:showSerName val="0"/>
          <c:showPercent val="0"/>
          <c:showBubbleSize val="0"/>
        </c:dLbls>
        <c:marker val="1"/>
        <c:smooth val="0"/>
        <c:axId val="48650112"/>
        <c:axId val="48672768"/>
      </c:lineChart>
      <c:dateAx>
        <c:axId val="48650112"/>
        <c:scaling>
          <c:orientation val="minMax"/>
        </c:scaling>
        <c:delete val="0"/>
        <c:axPos val="b"/>
        <c:majorGridlines>
          <c:spPr>
            <a:ln w="9525">
              <a:solidFill>
                <a:srgbClr val="CCCCCC"/>
              </a:solidFill>
              <a:prstDash val="dash"/>
            </a:ln>
          </c:spPr>
        </c:majorGridlines>
        <c:numFmt formatCode="mmmm\ yyyy" sourceLinked="1"/>
        <c:majorTickMark val="none"/>
        <c:minorTickMark val="none"/>
        <c:tickLblPos val="nextTo"/>
        <c:crossAx val="48672768"/>
        <c:crosses val="autoZero"/>
        <c:auto val="1"/>
        <c:lblOffset val="100"/>
        <c:baseTimeUnit val="months"/>
      </c:dateAx>
      <c:valAx>
        <c:axId val="48672768"/>
        <c:scaling>
          <c:orientation val="minMax"/>
        </c:scaling>
        <c:delete val="0"/>
        <c:axPos val="l"/>
        <c:majorGridlines>
          <c:spPr>
            <a:ln w="9525">
              <a:solidFill>
                <a:srgbClr val="CCCCCC"/>
              </a:solidFill>
              <a:prstDash val="dash"/>
            </a:ln>
          </c:spPr>
        </c:majorGridlines>
        <c:numFmt formatCode="\$#,##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0</xdr:colOff>
      <xdr:row>5</xdr:row>
      <xdr:rowOff>0</xdr:rowOff>
    </xdr:from>
    <xdr:to>
      <xdr:col>14</xdr:col>
      <xdr:colOff>0</xdr:colOff>
      <xdr:row>22</xdr:row>
      <xdr:rowOff>0</xdr:rowOff>
    </xdr:to>
    <xdr:graphicFrame macro="">
      <xdr:nvGraphicFramePr>
        <xdr:cNvPr id="2" name="Chart">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2"/>
  <sheetViews>
    <sheetView tabSelected="1" workbookViewId="0">
      <selection activeCell="M3" sqref="M3"/>
    </sheetView>
  </sheetViews>
  <sheetFormatPr defaultRowHeight="14.25"/>
  <cols>
    <col min="1" max="1" width="24" customWidth="1"/>
    <col min="2" max="2" width="18" customWidth="1"/>
    <col min="3" max="5" width="16" customWidth="1"/>
    <col min="6" max="7" width="14" customWidth="1"/>
    <col min="8" max="8" width="14.75" bestFit="1" customWidth="1"/>
    <col min="9" max="9" width="16" customWidth="1"/>
  </cols>
  <sheetData>
    <row r="1" spans="1:9" ht="119.25" customHeight="1">
      <c r="A1" s="30" t="e" vm="1">
        <v>#VALUE!</v>
      </c>
      <c r="B1" s="30"/>
      <c r="C1" s="30"/>
      <c r="D1" s="30"/>
      <c r="E1" s="30"/>
      <c r="F1" s="30"/>
      <c r="G1" s="30"/>
      <c r="H1" s="30"/>
      <c r="I1" s="30"/>
    </row>
    <row r="3" spans="1:9" ht="18">
      <c r="A3" s="34" t="s">
        <v>0</v>
      </c>
      <c r="B3" s="35"/>
      <c r="C3" s="35"/>
      <c r="D3" s="35"/>
      <c r="E3" s="35"/>
      <c r="F3" s="35"/>
      <c r="G3" s="35"/>
      <c r="H3" s="35"/>
      <c r="I3" s="35"/>
    </row>
    <row r="5" spans="1:9" ht="15">
      <c r="A5" s="23" t="s">
        <v>1</v>
      </c>
    </row>
    <row r="6" spans="1:9" ht="14.25" customHeight="1">
      <c r="A6" s="33" t="s">
        <v>2</v>
      </c>
      <c r="B6" s="33"/>
      <c r="C6" s="33"/>
      <c r="D6" s="33"/>
      <c r="E6" s="33"/>
      <c r="G6" s="22"/>
    </row>
    <row r="7" spans="1:9" ht="30" customHeight="1">
      <c r="A7" s="32" t="s">
        <v>3</v>
      </c>
      <c r="B7" s="32"/>
      <c r="C7" s="32"/>
      <c r="D7" s="32"/>
      <c r="H7" s="31" t="s">
        <v>4</v>
      </c>
      <c r="I7" s="31"/>
    </row>
    <row r="8" spans="1:9">
      <c r="A8" s="21"/>
      <c r="B8" s="21"/>
      <c r="C8" s="21"/>
      <c r="D8" s="21"/>
      <c r="E8" s="21"/>
      <c r="F8" s="21"/>
      <c r="G8" s="21"/>
      <c r="H8" s="21"/>
      <c r="I8" s="21"/>
    </row>
    <row r="9" spans="1:9" ht="15">
      <c r="A9" s="36" t="s">
        <v>5</v>
      </c>
      <c r="B9" s="35"/>
      <c r="C9" s="35"/>
      <c r="D9" s="35"/>
      <c r="E9" s="35"/>
      <c r="F9" s="35"/>
      <c r="G9" s="35"/>
      <c r="H9" s="35"/>
      <c r="I9" s="35"/>
    </row>
    <row r="10" spans="1:9" ht="15">
      <c r="A10" s="1" t="s">
        <v>6</v>
      </c>
      <c r="B10" s="28">
        <v>100</v>
      </c>
      <c r="C10" s="1"/>
      <c r="D10" s="1" t="s">
        <v>7</v>
      </c>
      <c r="E10" s="29" t="s">
        <v>8</v>
      </c>
      <c r="F10" s="1"/>
      <c r="G10" s="1" t="s">
        <v>9</v>
      </c>
      <c r="H10" s="27">
        <v>46207</v>
      </c>
      <c r="I10" s="1"/>
    </row>
    <row r="11" spans="1:9" ht="30">
      <c r="A11" s="1" t="s">
        <v>10</v>
      </c>
      <c r="B11" s="7">
        <f>SUM(C23:C32)</f>
        <v>31550</v>
      </c>
      <c r="C11" s="1"/>
      <c r="D11" s="1" t="s">
        <v>11</v>
      </c>
      <c r="E11" s="7">
        <f>SUM(E23:E32)</f>
        <v>755</v>
      </c>
      <c r="F11" s="1"/>
      <c r="G11" s="1" t="s">
        <v>12</v>
      </c>
      <c r="H11" s="7">
        <f>B10+E11</f>
        <v>855</v>
      </c>
      <c r="I11" s="1"/>
    </row>
    <row r="12" spans="1:9" ht="30">
      <c r="A12" s="1" t="s">
        <v>13</v>
      </c>
      <c r="B12" s="8">
        <f>COUNTIF(A23:A32,"&lt;&gt;")</f>
        <v>6</v>
      </c>
      <c r="C12" s="1"/>
      <c r="D12" s="1" t="s">
        <v>14</v>
      </c>
      <c r="E12" s="9">
        <f>IFERROR(MAX(D23:D32),"")</f>
        <v>31.99</v>
      </c>
      <c r="F12" s="1"/>
      <c r="G12" s="1" t="s">
        <v>15</v>
      </c>
      <c r="H12" s="7" t="str">
        <f ca="1">IFERROR(_xludf.MINIFS(C23:C32,C23:C32,"&gt;0"),"")</f>
        <v/>
      </c>
      <c r="I12" s="1"/>
    </row>
    <row r="13" spans="1:9" ht="45">
      <c r="A13" s="1" t="s">
        <v>16</v>
      </c>
      <c r="B13" s="8">
        <f>'Payoff Planner'!B7</f>
        <v>76</v>
      </c>
      <c r="C13" s="1"/>
      <c r="D13" s="1" t="s">
        <v>17</v>
      </c>
      <c r="E13" s="10">
        <f>'Payoff Planner'!B8</f>
        <v>6.333333333333333</v>
      </c>
      <c r="F13" s="1"/>
      <c r="G13" s="1" t="s">
        <v>18</v>
      </c>
      <c r="H13" s="26">
        <f>'Payoff Planner'!E8</f>
        <v>48522</v>
      </c>
      <c r="I13" s="1"/>
    </row>
    <row r="15" spans="1:9">
      <c r="A15" s="37" t="s">
        <v>19</v>
      </c>
      <c r="B15" s="38"/>
      <c r="C15" s="38"/>
      <c r="D15" s="38"/>
      <c r="E15" s="38"/>
      <c r="F15" s="38"/>
      <c r="G15" s="38"/>
      <c r="H15" s="38"/>
      <c r="I15" s="38"/>
    </row>
    <row r="16" spans="1:9">
      <c r="A16" s="38"/>
      <c r="B16" s="38"/>
      <c r="C16" s="38"/>
      <c r="D16" s="38"/>
      <c r="E16" s="38"/>
      <c r="F16" s="38"/>
      <c r="G16" s="38"/>
      <c r="H16" s="38"/>
      <c r="I16" s="38"/>
    </row>
    <row r="19" spans="1:9" ht="15">
      <c r="A19" s="36" t="s">
        <v>20</v>
      </c>
      <c r="B19" s="35"/>
      <c r="C19" s="35"/>
      <c r="D19" s="35"/>
      <c r="E19" s="35"/>
      <c r="F19" s="35"/>
      <c r="G19" s="35"/>
      <c r="H19" s="35"/>
      <c r="I19" s="35"/>
    </row>
    <row r="22" spans="1:9" ht="30">
      <c r="A22" s="2" t="s">
        <v>21</v>
      </c>
      <c r="B22" s="2" t="s">
        <v>22</v>
      </c>
      <c r="C22" s="2" t="s">
        <v>23</v>
      </c>
      <c r="D22" s="2" t="s">
        <v>24</v>
      </c>
      <c r="E22" s="2" t="s">
        <v>25</v>
      </c>
      <c r="F22" s="2" t="s">
        <v>26</v>
      </c>
      <c r="G22" s="2" t="s">
        <v>27</v>
      </c>
      <c r="H22" s="2" t="s">
        <v>28</v>
      </c>
      <c r="I22" s="2" t="s">
        <v>29</v>
      </c>
    </row>
    <row r="23" spans="1:9">
      <c r="A23" s="3" t="s">
        <v>30</v>
      </c>
      <c r="B23" s="3" t="s">
        <v>31</v>
      </c>
      <c r="C23" s="5">
        <v>800</v>
      </c>
      <c r="D23" s="6">
        <v>31.99</v>
      </c>
      <c r="E23" s="5">
        <v>35</v>
      </c>
      <c r="F23" s="4">
        <f>IF(A23="","",1+COUNTIFS($C$23:$C$32,"&gt;0",$C$23:$C$32,"&lt;"&amp;C23)+COUNTIFS($C$23:C23,C23)-1)</f>
        <v>1</v>
      </c>
      <c r="G23" s="4">
        <f>IF(A23="","",1+COUNTIFS($D$23:$D$32,"&gt;"&amp;D23)+COUNTIFS($D$23:D23,D23)-1)</f>
        <v>1</v>
      </c>
      <c r="H23" s="4">
        <f t="shared" ref="H23:H32" si="0">IF(A23="","",IF($E$10="Debt Snowball",F23,G23))</f>
        <v>1</v>
      </c>
      <c r="I23" s="4" t="str">
        <f t="shared" ref="I23:I32" si="1">IF(A23="","Blank row","Included")</f>
        <v>Included</v>
      </c>
    </row>
    <row r="24" spans="1:9">
      <c r="A24" s="3" t="s">
        <v>32</v>
      </c>
      <c r="B24" s="3" t="s">
        <v>33</v>
      </c>
      <c r="C24" s="5">
        <v>1250</v>
      </c>
      <c r="D24" s="6">
        <v>29.99</v>
      </c>
      <c r="E24" s="5">
        <v>45</v>
      </c>
      <c r="F24" s="4">
        <f>IF(A24="","",1+COUNTIFS($C$23:$C$32,"&gt;0",$C$23:$C$32,"&lt;"&amp;C24)+COUNTIFS($C$23:C24,C24)-1)</f>
        <v>2</v>
      </c>
      <c r="G24" s="4">
        <f>IF(A24="","",1+COUNTIFS($D$23:$D$32,"&gt;"&amp;D24)+COUNTIFS($D$23:D24,D24)-1)</f>
        <v>2</v>
      </c>
      <c r="H24" s="4">
        <f t="shared" si="0"/>
        <v>2</v>
      </c>
      <c r="I24" s="4" t="str">
        <f t="shared" si="1"/>
        <v>Included</v>
      </c>
    </row>
    <row r="25" spans="1:9">
      <c r="A25" s="3" t="s">
        <v>34</v>
      </c>
      <c r="B25" s="3" t="s">
        <v>33</v>
      </c>
      <c r="C25" s="5">
        <v>3500</v>
      </c>
      <c r="D25" s="6">
        <v>24.99</v>
      </c>
      <c r="E25" s="5">
        <v>110</v>
      </c>
      <c r="F25" s="4">
        <f>IF(A25="","",1+COUNTIFS($C$23:$C$32,"&gt;0",$C$23:$C$32,"&lt;"&amp;C25)+COUNTIFS($C$23:C25,C25)-1)</f>
        <v>3</v>
      </c>
      <c r="G25" s="4">
        <f>IF(A25="","",1+COUNTIFS($D$23:$D$32,"&gt;"&amp;D25)+COUNTIFS($D$23:D25,D25)-1)</f>
        <v>3</v>
      </c>
      <c r="H25" s="4">
        <f t="shared" si="0"/>
        <v>3</v>
      </c>
      <c r="I25" s="4" t="str">
        <f t="shared" si="1"/>
        <v>Included</v>
      </c>
    </row>
    <row r="26" spans="1:9">
      <c r="A26" s="3" t="s">
        <v>35</v>
      </c>
      <c r="B26" s="3" t="s">
        <v>36</v>
      </c>
      <c r="C26" s="5">
        <v>4000</v>
      </c>
      <c r="D26" s="6">
        <v>11.99</v>
      </c>
      <c r="E26" s="5">
        <v>125</v>
      </c>
      <c r="F26" s="4">
        <f>IF(A26="","",1+COUNTIFS($C$23:$C$32,"&gt;0",$C$23:$C$32,"&lt;"&amp;C26)+COUNTIFS($C$23:C26,C26)-1)</f>
        <v>4</v>
      </c>
      <c r="G26" s="4">
        <f>IF(A26="","",1+COUNTIFS($D$23:$D$32,"&gt;"&amp;D26)+COUNTIFS($D$23:D26,D26)-1)</f>
        <v>4</v>
      </c>
      <c r="H26" s="4">
        <f t="shared" si="0"/>
        <v>4</v>
      </c>
      <c r="I26" s="4" t="str">
        <f t="shared" si="1"/>
        <v>Included</v>
      </c>
    </row>
    <row r="27" spans="1:9">
      <c r="A27" s="3" t="s">
        <v>37</v>
      </c>
      <c r="B27" s="3" t="s">
        <v>38</v>
      </c>
      <c r="C27" s="5">
        <v>9500</v>
      </c>
      <c r="D27" s="6">
        <v>4.5</v>
      </c>
      <c r="E27" s="5">
        <v>115</v>
      </c>
      <c r="F27" s="4">
        <f>IF(A27="","",1+COUNTIFS($C$23:$C$32,"&gt;0",$C$23:$C$32,"&lt;"&amp;C27)+COUNTIFS($C$23:C27,C27)-1)</f>
        <v>5</v>
      </c>
      <c r="G27" s="4">
        <f>IF(A27="","",1+COUNTIFS($D$23:$D$32,"&gt;"&amp;D27)+COUNTIFS($D$23:D27,D27)-1)</f>
        <v>6</v>
      </c>
      <c r="H27" s="4">
        <f t="shared" si="0"/>
        <v>5</v>
      </c>
      <c r="I27" s="4" t="str">
        <f t="shared" si="1"/>
        <v>Included</v>
      </c>
    </row>
    <row r="28" spans="1:9">
      <c r="A28" s="3" t="s">
        <v>39</v>
      </c>
      <c r="B28" s="3" t="s">
        <v>40</v>
      </c>
      <c r="C28" s="5">
        <v>12500</v>
      </c>
      <c r="D28" s="6">
        <v>6.49</v>
      </c>
      <c r="E28" s="5">
        <v>325</v>
      </c>
      <c r="F28" s="4">
        <f>IF(A28="","",1+COUNTIFS($C$23:$C$32,"&gt;0",$C$23:$C$32,"&lt;"&amp;C28)+COUNTIFS($C$23:C28,C28)-1)</f>
        <v>6</v>
      </c>
      <c r="G28" s="4">
        <f>IF(A28="","",1+COUNTIFS($D$23:$D$32,"&gt;"&amp;D28)+COUNTIFS($D$23:D28,D28)-1)</f>
        <v>5</v>
      </c>
      <c r="H28" s="4">
        <f t="shared" si="0"/>
        <v>6</v>
      </c>
      <c r="I28" s="4" t="str">
        <f t="shared" si="1"/>
        <v>Included</v>
      </c>
    </row>
    <row r="29" spans="1:9">
      <c r="A29" s="3"/>
      <c r="B29" s="3"/>
      <c r="C29" s="5"/>
      <c r="D29" s="6"/>
      <c r="E29" s="5"/>
      <c r="F29" s="4" t="str">
        <f>IF(A29="","",1+COUNTIFS($C$23:$C$32,"&gt;0",$C$23:$C$32,"&lt;"&amp;C29)+COUNTIFS($C$23:C29,C29)-1)</f>
        <v/>
      </c>
      <c r="G29" s="4" t="str">
        <f>IF(A29="","",1+COUNTIFS($D$23:$D$32,"&gt;"&amp;D29)+COUNTIFS($D$23:D29,D29)-1)</f>
        <v/>
      </c>
      <c r="H29" s="4" t="str">
        <f t="shared" si="0"/>
        <v/>
      </c>
      <c r="I29" s="4" t="str">
        <f t="shared" si="1"/>
        <v>Blank row</v>
      </c>
    </row>
    <row r="30" spans="1:9">
      <c r="A30" s="3"/>
      <c r="B30" s="3"/>
      <c r="C30" s="5"/>
      <c r="D30" s="6"/>
      <c r="E30" s="5"/>
      <c r="F30" s="4" t="str">
        <f>IF(A30="","",1+COUNTIFS($C$23:$C$32,"&gt;0",$C$23:$C$32,"&lt;"&amp;C30)+COUNTIFS($C$23:C30,C30)-1)</f>
        <v/>
      </c>
      <c r="G30" s="4" t="str">
        <f>IF(A30="","",1+COUNTIFS($D$23:$D$32,"&gt;"&amp;D30)+COUNTIFS($D$23:D30,D30)-1)</f>
        <v/>
      </c>
      <c r="H30" s="4" t="str">
        <f t="shared" si="0"/>
        <v/>
      </c>
      <c r="I30" s="4" t="str">
        <f t="shared" si="1"/>
        <v>Blank row</v>
      </c>
    </row>
    <row r="31" spans="1:9">
      <c r="A31" s="3"/>
      <c r="B31" s="3"/>
      <c r="C31" s="5"/>
      <c r="D31" s="6"/>
      <c r="E31" s="5"/>
      <c r="F31" s="4" t="str">
        <f>IF(A31="","",1+COUNTIFS($C$23:$C$32,"&gt;0",$C$23:$C$32,"&lt;"&amp;C31)+COUNTIFS($C$23:C31,C31)-1)</f>
        <v/>
      </c>
      <c r="G31" s="4" t="str">
        <f>IF(A31="","",1+COUNTIFS($D$23:$D$32,"&gt;"&amp;D31)+COUNTIFS($D$23:D31,D31)-1)</f>
        <v/>
      </c>
      <c r="H31" s="4" t="str">
        <f t="shared" si="0"/>
        <v/>
      </c>
      <c r="I31" s="4" t="str">
        <f t="shared" si="1"/>
        <v>Blank row</v>
      </c>
    </row>
    <row r="32" spans="1:9">
      <c r="A32" s="3"/>
      <c r="B32" s="3"/>
      <c r="C32" s="5"/>
      <c r="D32" s="6"/>
      <c r="E32" s="5"/>
      <c r="F32" s="4" t="str">
        <f>IF(A32="","",1+COUNTIFS($C$23:$C$32,"&gt;0",$C$23:$C$32,"&lt;"&amp;C32)+COUNTIFS($C$23:C32,C32)-1)</f>
        <v/>
      </c>
      <c r="G32" s="4" t="str">
        <f>IF(A32="","",1+COUNTIFS($D$23:$D$32,"&gt;"&amp;D32)+COUNTIFS($D$23:D32,D32)-1)</f>
        <v/>
      </c>
      <c r="H32" s="4" t="str">
        <f t="shared" si="0"/>
        <v/>
      </c>
      <c r="I32" s="4" t="str">
        <f t="shared" si="1"/>
        <v>Blank row</v>
      </c>
    </row>
  </sheetData>
  <mergeCells count="8">
    <mergeCell ref="A9:I9"/>
    <mergeCell ref="A15:I16"/>
    <mergeCell ref="A19:I19"/>
    <mergeCell ref="A1:I1"/>
    <mergeCell ref="H7:I7"/>
    <mergeCell ref="A7:D7"/>
    <mergeCell ref="A6:E6"/>
    <mergeCell ref="A3:I3"/>
  </mergeCells>
  <conditionalFormatting sqref="C23:C32">
    <cfRule type="dataBar" priority="2">
      <dataBar>
        <cfvo type="min"/>
        <cfvo type="max"/>
        <color rgb="FF2563EB"/>
      </dataBar>
    </cfRule>
    <cfRule type="dataBar" priority="3">
      <dataBar>
        <cfvo type="min"/>
        <cfvo type="max"/>
        <color rgb="FF2563EB"/>
      </dataBar>
    </cfRule>
    <cfRule type="dataBar" priority="4">
      <dataBar>
        <cfvo type="min"/>
        <cfvo type="max"/>
        <color rgb="FF2563EB"/>
      </dataBar>
      <extLst>
        <ext xmlns:x14="http://schemas.microsoft.com/office/spreadsheetml/2009/9/main" uri="{B025F937-C7B1-47D3-B67F-A62EFF666E3E}">
          <x14:id>{86FAF6D9-4371-368C-C146-34825F9CF4D2}</x14:id>
        </ext>
      </extLst>
    </cfRule>
  </conditionalFormatting>
  <conditionalFormatting sqref="D23:D32">
    <cfRule type="cellIs" dxfId="0" priority="1" operator="greaterThan">
      <formula>20</formula>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86FAF6D9-4371-368C-C146-34825F9CF4D2}">
            <x14:dataBar>
              <x14:cfvo type="min"/>
              <x14:cfvo type="max"/>
              <x14:negativeFillColor auto="1"/>
              <x14:axisColor auto="1"/>
            </x14:dataBar>
          </x14:cfRule>
          <xm:sqref>C23:C32</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3"/>
  <sheetViews>
    <sheetView workbookViewId="0">
      <selection sqref="A1:J1"/>
    </sheetView>
  </sheetViews>
  <sheetFormatPr defaultRowHeight="14.25"/>
  <cols>
    <col min="1" max="1" width="10" customWidth="1"/>
    <col min="2" max="2" width="24" customWidth="1"/>
    <col min="3" max="3" width="18" customWidth="1"/>
    <col min="4" max="7" width="16" customWidth="1"/>
    <col min="8" max="9" width="14" customWidth="1"/>
    <col min="10" max="10" width="18" customWidth="1"/>
  </cols>
  <sheetData>
    <row r="1" spans="1:10" ht="18">
      <c r="A1" s="39" t="s">
        <v>41</v>
      </c>
      <c r="B1" s="38"/>
      <c r="C1" s="38"/>
      <c r="D1" s="38"/>
      <c r="E1" s="38"/>
      <c r="F1" s="38"/>
      <c r="G1" s="38"/>
      <c r="H1" s="38"/>
      <c r="I1" s="38"/>
      <c r="J1" s="38"/>
    </row>
    <row r="3" spans="1:10">
      <c r="A3" s="37" t="s">
        <v>74</v>
      </c>
      <c r="B3" s="38"/>
      <c r="C3" s="38"/>
      <c r="D3" s="38"/>
      <c r="E3" s="38"/>
      <c r="F3" s="38"/>
      <c r="G3" s="38"/>
      <c r="H3" s="38"/>
      <c r="I3" s="38"/>
      <c r="J3" s="38"/>
    </row>
    <row r="4" spans="1:10">
      <c r="A4" s="38"/>
      <c r="B4" s="38"/>
      <c r="C4" s="38"/>
      <c r="D4" s="38"/>
      <c r="E4" s="38"/>
      <c r="F4" s="38"/>
      <c r="G4" s="38"/>
      <c r="H4" s="38"/>
      <c r="I4" s="38"/>
      <c r="J4" s="38"/>
    </row>
    <row r="6" spans="1:10" ht="30">
      <c r="A6" s="1" t="s">
        <v>42</v>
      </c>
      <c r="B6" s="8" t="str">
        <f>'Start Here'!E10</f>
        <v>Debt Snowball</v>
      </c>
      <c r="C6" s="1"/>
      <c r="D6" s="1" t="s">
        <v>6</v>
      </c>
      <c r="E6" s="7">
        <f>'Start Here'!B10</f>
        <v>100</v>
      </c>
      <c r="F6" s="1"/>
      <c r="G6" s="1"/>
    </row>
    <row r="7" spans="1:10" ht="45">
      <c r="A7" s="1" t="s">
        <v>43</v>
      </c>
      <c r="B7" s="8">
        <f>SUM(H14:H23)</f>
        <v>76</v>
      </c>
      <c r="C7" s="1"/>
      <c r="D7" s="1" t="s">
        <v>44</v>
      </c>
      <c r="E7" s="7">
        <f>SUM(J14:J23)</f>
        <v>3500</v>
      </c>
      <c r="F7" s="1"/>
      <c r="G7" s="1"/>
    </row>
    <row r="8" spans="1:10" ht="45">
      <c r="A8" s="1" t="s">
        <v>45</v>
      </c>
      <c r="B8" s="10">
        <f>B7/12</f>
        <v>6.333333333333333</v>
      </c>
      <c r="C8" s="1"/>
      <c r="D8" s="1" t="s">
        <v>18</v>
      </c>
      <c r="E8" s="26">
        <f>EDATE('Start Here'!H10,B7)</f>
        <v>48522</v>
      </c>
      <c r="F8" s="1"/>
      <c r="G8" s="1"/>
    </row>
    <row r="9" spans="1:10" ht="60">
      <c r="A9" s="1" t="s">
        <v>12</v>
      </c>
      <c r="B9" s="7">
        <f>'Start Here'!H11</f>
        <v>855</v>
      </c>
      <c r="C9" s="1"/>
      <c r="D9" s="1" t="s">
        <v>46</v>
      </c>
      <c r="E9" s="7">
        <f>'Start Here'!B11</f>
        <v>31550</v>
      </c>
      <c r="F9" s="1"/>
      <c r="G9" s="1"/>
    </row>
    <row r="13" spans="1:10" ht="30">
      <c r="A13" s="2" t="s">
        <v>47</v>
      </c>
      <c r="B13" s="2" t="s">
        <v>21</v>
      </c>
      <c r="C13" s="2" t="s">
        <v>22</v>
      </c>
      <c r="D13" s="2" t="s">
        <v>48</v>
      </c>
      <c r="E13" s="2" t="s">
        <v>24</v>
      </c>
      <c r="F13" s="2" t="s">
        <v>25</v>
      </c>
      <c r="G13" s="20" t="s">
        <v>75</v>
      </c>
      <c r="H13" s="2" t="s">
        <v>49</v>
      </c>
      <c r="I13" s="2" t="s">
        <v>50</v>
      </c>
      <c r="J13" s="2" t="s">
        <v>51</v>
      </c>
    </row>
    <row r="14" spans="1:10">
      <c r="A14" s="11">
        <v>1</v>
      </c>
      <c r="B14" s="11" t="str">
        <f>IFERROR(INDEX('Start Here'!$A$23:$A$32,MATCH(A14,'Start Here'!$H$23:$H$32,0)),"")</f>
        <v>Best Buy Card</v>
      </c>
      <c r="C14" s="11" t="str">
        <f>IFERROR(INDEX('Start Here'!$B$23:$B$32,MATCH(A14,'Start Here'!$H$23:$H$32,0)),"")</f>
        <v>Store Card</v>
      </c>
      <c r="D14" s="12">
        <f>IFERROR(INDEX('Start Here'!$C$23:$C$32,MATCH(A14,'Start Here'!$H$23:$H$32,0)),"")</f>
        <v>800</v>
      </c>
      <c r="E14" s="13">
        <f>IFERROR(INDEX('Start Here'!$D$23:$D$32,MATCH(A14,'Start Here'!$H$23:$H$32,0)),"")</f>
        <v>31.99</v>
      </c>
      <c r="F14" s="12">
        <f>IFERROR(INDEX('Start Here'!$E$23:$E$32,MATCH(A14,'Start Here'!$H$23:$H$32,0)),"")</f>
        <v>35</v>
      </c>
      <c r="G14" s="12">
        <f>IF(B14="","",IF(D14&lt;=0,0,F14+'Start Here'!$B$10))</f>
        <v>135</v>
      </c>
      <c r="H14" s="14">
        <f t="shared" ref="H14:H23" si="0">IF(B14="","",IF(G14&lt;=0,"",IFERROR(ROUNDUP(NPER(E14/100/12,-G14,D14),0),ROUNDUP(D14/G14,0))))</f>
        <v>7</v>
      </c>
      <c r="I14" s="15">
        <f t="shared" ref="I14:I23" si="1">IF(B14="","",H14/12)</f>
        <v>0.58333333333333337</v>
      </c>
      <c r="J14" s="12">
        <f t="shared" ref="J14:J23" si="2">IF(B14="","",MAX((G14*H14)-D14,0))</f>
        <v>145</v>
      </c>
    </row>
    <row r="15" spans="1:10">
      <c r="A15" s="11">
        <v>2</v>
      </c>
      <c r="B15" s="11" t="str">
        <f>IFERROR(INDEX('Start Here'!$A$23:$A$32,MATCH(A15,'Start Here'!$H$23:$H$32,0)),"")</f>
        <v>Capital One</v>
      </c>
      <c r="C15" s="11" t="str">
        <f>IFERROR(INDEX('Start Here'!$B$23:$B$32,MATCH(A15,'Start Here'!$H$23:$H$32,0)),"")</f>
        <v>Credit Card</v>
      </c>
      <c r="D15" s="12">
        <f>IFERROR(INDEX('Start Here'!$C$23:$C$32,MATCH(A15,'Start Here'!$H$23:$H$32,0)),"")</f>
        <v>1250</v>
      </c>
      <c r="E15" s="13">
        <f>IFERROR(INDEX('Start Here'!$D$23:$D$32,MATCH(A15,'Start Here'!$H$23:$H$32,0)),"")</f>
        <v>29.99</v>
      </c>
      <c r="F15" s="12">
        <f>IFERROR(INDEX('Start Here'!$E$23:$E$32,MATCH(A15,'Start Here'!$H$23:$H$32,0)),"")</f>
        <v>45</v>
      </c>
      <c r="G15" s="12">
        <f>IF(B15="","",IF(D15&lt;=0,0,F15+'Start Here'!$B$10+SUM($F$14:F14)))</f>
        <v>180</v>
      </c>
      <c r="H15" s="14">
        <f t="shared" si="0"/>
        <v>8</v>
      </c>
      <c r="I15" s="15">
        <f t="shared" si="1"/>
        <v>0.66666666666666663</v>
      </c>
      <c r="J15" s="12">
        <f t="shared" si="2"/>
        <v>190</v>
      </c>
    </row>
    <row r="16" spans="1:10">
      <c r="A16" s="11">
        <v>3</v>
      </c>
      <c r="B16" s="11" t="str">
        <f>IFERROR(INDEX('Start Here'!$A$23:$A$32,MATCH(A16,'Start Here'!$H$23:$H$32,0)),"")</f>
        <v>Visa Platinum</v>
      </c>
      <c r="C16" s="11" t="str">
        <f>IFERROR(INDEX('Start Here'!$B$23:$B$32,MATCH(A16,'Start Here'!$H$23:$H$32,0)),"")</f>
        <v>Credit Card</v>
      </c>
      <c r="D16" s="12">
        <f>IFERROR(INDEX('Start Here'!$C$23:$C$32,MATCH(A16,'Start Here'!$H$23:$H$32,0)),"")</f>
        <v>3500</v>
      </c>
      <c r="E16" s="13">
        <f>IFERROR(INDEX('Start Here'!$D$23:$D$32,MATCH(A16,'Start Here'!$H$23:$H$32,0)),"")</f>
        <v>24.99</v>
      </c>
      <c r="F16" s="12">
        <f>IFERROR(INDEX('Start Here'!$E$23:$E$32,MATCH(A16,'Start Here'!$H$23:$H$32,0)),"")</f>
        <v>110</v>
      </c>
      <c r="G16" s="12">
        <f>IF(B16="","",IF(D16&lt;=0,0,F16+'Start Here'!$B$10+SUM($F$14:F15)))</f>
        <v>290</v>
      </c>
      <c r="H16" s="14">
        <f t="shared" si="0"/>
        <v>15</v>
      </c>
      <c r="I16" s="15">
        <f t="shared" si="1"/>
        <v>1.25</v>
      </c>
      <c r="J16" s="12">
        <f t="shared" si="2"/>
        <v>850</v>
      </c>
    </row>
    <row r="17" spans="1:10">
      <c r="A17" s="11">
        <v>4</v>
      </c>
      <c r="B17" s="11" t="str">
        <f>IFERROR(INDEX('Start Here'!$A$23:$A$32,MATCH(A17,'Start Here'!$H$23:$H$32,0)),"")</f>
        <v>ABC Personal Loan</v>
      </c>
      <c r="C17" s="11" t="str">
        <f>IFERROR(INDEX('Start Here'!$B$23:$B$32,MATCH(A17,'Start Here'!$H$23:$H$32,0)),"")</f>
        <v>Personal Loan</v>
      </c>
      <c r="D17" s="12">
        <f>IFERROR(INDEX('Start Here'!$C$23:$C$32,MATCH(A17,'Start Here'!$H$23:$H$32,0)),"")</f>
        <v>4000</v>
      </c>
      <c r="E17" s="13">
        <f>IFERROR(INDEX('Start Here'!$D$23:$D$32,MATCH(A17,'Start Here'!$H$23:$H$32,0)),"")</f>
        <v>11.99</v>
      </c>
      <c r="F17" s="12">
        <f>IFERROR(INDEX('Start Here'!$E$23:$E$32,MATCH(A17,'Start Here'!$H$23:$H$32,0)),"")</f>
        <v>125</v>
      </c>
      <c r="G17" s="12">
        <f>IF(B17="","",IF(D17&lt;=0,0,F17+'Start Here'!$B$10+SUM($F$14:F16)))</f>
        <v>415</v>
      </c>
      <c r="H17" s="14">
        <f t="shared" si="0"/>
        <v>11</v>
      </c>
      <c r="I17" s="15">
        <f t="shared" si="1"/>
        <v>0.91666666666666663</v>
      </c>
      <c r="J17" s="12">
        <f t="shared" si="2"/>
        <v>565</v>
      </c>
    </row>
    <row r="18" spans="1:10">
      <c r="A18" s="11">
        <v>5</v>
      </c>
      <c r="B18" s="11" t="str">
        <f>IFERROR(INDEX('Start Here'!$A$23:$A$32,MATCH(A18,'Start Here'!$H$23:$H$32,0)),"")</f>
        <v>Federal Student Loan</v>
      </c>
      <c r="C18" s="11" t="str">
        <f>IFERROR(INDEX('Start Here'!$B$23:$B$32,MATCH(A18,'Start Here'!$H$23:$H$32,0)),"")</f>
        <v>Student Loan</v>
      </c>
      <c r="D18" s="12">
        <f>IFERROR(INDEX('Start Here'!$C$23:$C$32,MATCH(A18,'Start Here'!$H$23:$H$32,0)),"")</f>
        <v>9500</v>
      </c>
      <c r="E18" s="13">
        <f>IFERROR(INDEX('Start Here'!$D$23:$D$32,MATCH(A18,'Start Here'!$H$23:$H$32,0)),"")</f>
        <v>4.5</v>
      </c>
      <c r="F18" s="12">
        <f>IFERROR(INDEX('Start Here'!$E$23:$E$32,MATCH(A18,'Start Here'!$H$23:$H$32,0)),"")</f>
        <v>115</v>
      </c>
      <c r="G18" s="12">
        <f>IF(B18="","",IF(D18&lt;=0,0,F18+'Start Here'!$B$10+SUM($F$14:F17)))</f>
        <v>530</v>
      </c>
      <c r="H18" s="14">
        <f t="shared" si="0"/>
        <v>19</v>
      </c>
      <c r="I18" s="15">
        <f t="shared" si="1"/>
        <v>1.5833333333333333</v>
      </c>
      <c r="J18" s="12">
        <f t="shared" si="2"/>
        <v>570</v>
      </c>
    </row>
    <row r="19" spans="1:10">
      <c r="A19" s="11">
        <v>6</v>
      </c>
      <c r="B19" s="11" t="str">
        <f>IFERROR(INDEX('Start Here'!$A$23:$A$32,MATCH(A19,'Start Here'!$H$23:$H$32,0)),"")</f>
        <v>Ford Motor Credit</v>
      </c>
      <c r="C19" s="11" t="str">
        <f>IFERROR(INDEX('Start Here'!$B$23:$B$32,MATCH(A19,'Start Here'!$H$23:$H$32,0)),"")</f>
        <v>Auto Loan</v>
      </c>
      <c r="D19" s="12">
        <f>IFERROR(INDEX('Start Here'!$C$23:$C$32,MATCH(A19,'Start Here'!$H$23:$H$32,0)),"")</f>
        <v>12500</v>
      </c>
      <c r="E19" s="13">
        <f>IFERROR(INDEX('Start Here'!$D$23:$D$32,MATCH(A19,'Start Here'!$H$23:$H$32,0)),"")</f>
        <v>6.49</v>
      </c>
      <c r="F19" s="12">
        <f>IFERROR(INDEX('Start Here'!$E$23:$E$32,MATCH(A19,'Start Here'!$H$23:$H$32,0)),"")</f>
        <v>325</v>
      </c>
      <c r="G19" s="12">
        <f>IF(B19="","",IF(D19&lt;=0,0,F19+'Start Here'!$B$10+SUM($F$14:F18)))</f>
        <v>855</v>
      </c>
      <c r="H19" s="14">
        <f t="shared" si="0"/>
        <v>16</v>
      </c>
      <c r="I19" s="15">
        <f t="shared" si="1"/>
        <v>1.3333333333333333</v>
      </c>
      <c r="J19" s="12">
        <f t="shared" si="2"/>
        <v>1180</v>
      </c>
    </row>
    <row r="20" spans="1:10">
      <c r="A20" s="11">
        <v>7</v>
      </c>
      <c r="B20" s="11" t="str">
        <f>IFERROR(INDEX('Start Here'!$A$23:$A$32,MATCH(A20,'Start Here'!$H$23:$H$32,0)),"")</f>
        <v/>
      </c>
      <c r="C20" s="11" t="str">
        <f>IFERROR(INDEX('Start Here'!$B$23:$B$32,MATCH(A20,'Start Here'!$H$23:$H$32,0)),"")</f>
        <v/>
      </c>
      <c r="D20" s="12" t="str">
        <f>IFERROR(INDEX('Start Here'!$C$23:$C$32,MATCH(A20,'Start Here'!$H$23:$H$32,0)),"")</f>
        <v/>
      </c>
      <c r="E20" s="13" t="str">
        <f>IFERROR(INDEX('Start Here'!$D$23:$D$32,MATCH(A20,'Start Here'!$H$23:$H$32,0)),"")</f>
        <v/>
      </c>
      <c r="F20" s="12" t="str">
        <f>IFERROR(INDEX('Start Here'!$E$23:$E$32,MATCH(A20,'Start Here'!$H$23:$H$32,0)),"")</f>
        <v/>
      </c>
      <c r="G20" s="12" t="str">
        <f>IF(B20="","",IF(D20&lt;=0,0,F20+'Start Here'!$B$10+SUM($F$14:F19)))</f>
        <v/>
      </c>
      <c r="H20" s="14" t="str">
        <f t="shared" si="0"/>
        <v/>
      </c>
      <c r="I20" s="15" t="str">
        <f t="shared" si="1"/>
        <v/>
      </c>
      <c r="J20" s="12" t="str">
        <f t="shared" si="2"/>
        <v/>
      </c>
    </row>
    <row r="21" spans="1:10">
      <c r="A21" s="11">
        <v>8</v>
      </c>
      <c r="B21" s="11" t="str">
        <f>IFERROR(INDEX('Start Here'!$A$23:$A$32,MATCH(A21,'Start Here'!$H$23:$H$32,0)),"")</f>
        <v/>
      </c>
      <c r="C21" s="11" t="str">
        <f>IFERROR(INDEX('Start Here'!$B$23:$B$32,MATCH(A21,'Start Here'!$H$23:$H$32,0)),"")</f>
        <v/>
      </c>
      <c r="D21" s="12" t="str">
        <f>IFERROR(INDEX('Start Here'!$C$23:$C$32,MATCH(A21,'Start Here'!$H$23:$H$32,0)),"")</f>
        <v/>
      </c>
      <c r="E21" s="13" t="str">
        <f>IFERROR(INDEX('Start Here'!$D$23:$D$32,MATCH(A21,'Start Here'!$H$23:$H$32,0)),"")</f>
        <v/>
      </c>
      <c r="F21" s="12" t="str">
        <f>IFERROR(INDEX('Start Here'!$E$23:$E$32,MATCH(A21,'Start Here'!$H$23:$H$32,0)),"")</f>
        <v/>
      </c>
      <c r="G21" s="12" t="str">
        <f>IF(B21="","",IF(D21&lt;=0,0,F21+'Start Here'!$B$10+SUM($F$14:F20)))</f>
        <v/>
      </c>
      <c r="H21" s="14" t="str">
        <f t="shared" si="0"/>
        <v/>
      </c>
      <c r="I21" s="15" t="str">
        <f t="shared" si="1"/>
        <v/>
      </c>
      <c r="J21" s="12" t="str">
        <f t="shared" si="2"/>
        <v/>
      </c>
    </row>
    <row r="22" spans="1:10">
      <c r="A22" s="11">
        <v>9</v>
      </c>
      <c r="B22" s="11" t="str">
        <f>IFERROR(INDEX('Start Here'!$A$23:$A$32,MATCH(A22,'Start Here'!$H$23:$H$32,0)),"")</f>
        <v/>
      </c>
      <c r="C22" s="11" t="str">
        <f>IFERROR(INDEX('Start Here'!$B$23:$B$32,MATCH(A22,'Start Here'!$H$23:$H$32,0)),"")</f>
        <v/>
      </c>
      <c r="D22" s="12" t="str">
        <f>IFERROR(INDEX('Start Here'!$C$23:$C$32,MATCH(A22,'Start Here'!$H$23:$H$32,0)),"")</f>
        <v/>
      </c>
      <c r="E22" s="13" t="str">
        <f>IFERROR(INDEX('Start Here'!$D$23:$D$32,MATCH(A22,'Start Here'!$H$23:$H$32,0)),"")</f>
        <v/>
      </c>
      <c r="F22" s="12" t="str">
        <f>IFERROR(INDEX('Start Here'!$E$23:$E$32,MATCH(A22,'Start Here'!$H$23:$H$32,0)),"")</f>
        <v/>
      </c>
      <c r="G22" s="12" t="str">
        <f>IF(B22="","",IF(D22&lt;=0,0,F22+'Start Here'!$B$10+SUM($F$14:F21)))</f>
        <v/>
      </c>
      <c r="H22" s="14" t="str">
        <f t="shared" si="0"/>
        <v/>
      </c>
      <c r="I22" s="15" t="str">
        <f t="shared" si="1"/>
        <v/>
      </c>
      <c r="J22" s="12" t="str">
        <f t="shared" si="2"/>
        <v/>
      </c>
    </row>
    <row r="23" spans="1:10">
      <c r="A23" s="11">
        <v>10</v>
      </c>
      <c r="B23" s="11" t="str">
        <f>IFERROR(INDEX('Start Here'!$A$23:$A$32,MATCH(A23,'Start Here'!$H$23:$H$32,0)),"")</f>
        <v/>
      </c>
      <c r="C23" s="11" t="str">
        <f>IFERROR(INDEX('Start Here'!$B$23:$B$32,MATCH(A23,'Start Here'!$H$23:$H$32,0)),"")</f>
        <v/>
      </c>
      <c r="D23" s="12" t="str">
        <f>IFERROR(INDEX('Start Here'!$C$23:$C$32,MATCH(A23,'Start Here'!$H$23:$H$32,0)),"")</f>
        <v/>
      </c>
      <c r="E23" s="13" t="str">
        <f>IFERROR(INDEX('Start Here'!$D$23:$D$32,MATCH(A23,'Start Here'!$H$23:$H$32,0)),"")</f>
        <v/>
      </c>
      <c r="F23" s="12" t="str">
        <f>IFERROR(INDEX('Start Here'!$E$23:$E$32,MATCH(A23,'Start Here'!$H$23:$H$32,0)),"")</f>
        <v/>
      </c>
      <c r="G23" s="12" t="str">
        <f>IF(B23="","",IF(D23&lt;=0,0,F23+'Start Here'!$B$10+SUM($F$14:F22)))</f>
        <v/>
      </c>
      <c r="H23" s="14" t="str">
        <f t="shared" si="0"/>
        <v/>
      </c>
      <c r="I23" s="15" t="str">
        <f t="shared" si="1"/>
        <v/>
      </c>
      <c r="J23" s="12" t="str">
        <f t="shared" si="2"/>
        <v/>
      </c>
    </row>
  </sheetData>
  <mergeCells count="2">
    <mergeCell ref="A1:J1"/>
    <mergeCell ref="A3:J4"/>
  </mergeCells>
  <conditionalFormatting sqref="A14:J23">
    <cfRule type="dataBar" priority="1">
      <dataBar>
        <cfvo type="min"/>
        <cfvo type="max"/>
        <color rgb="FF22C55E"/>
      </dataBar>
    </cfRule>
    <cfRule type="dataBar" priority="2">
      <dataBar>
        <cfvo type="min"/>
        <cfvo type="max"/>
        <color rgb="FF22C55E"/>
      </dataBar>
    </cfRule>
    <cfRule type="dataBar" priority="3">
      <dataBar>
        <cfvo type="min"/>
        <cfvo type="max"/>
        <color rgb="FF22C55E"/>
      </dataBar>
      <extLst>
        <ext xmlns:x14="http://schemas.microsoft.com/office/spreadsheetml/2009/9/main" uri="{B025F937-C7B1-47D3-B67F-A62EFF666E3E}">
          <x14:id>{41FCEB5E-A2D2-7E95-9AF8-A837AEB6DC62}</x14:id>
        </ext>
      </extLs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41FCEB5E-A2D2-7E95-9AF8-A837AEB6DC62}">
            <x14:dataBar>
              <x14:cfvo type="min"/>
              <x14:cfvo type="max"/>
              <x14:negativeFillColor auto="1"/>
              <x14:axisColor auto="1"/>
            </x14:dataBar>
          </x14:cfRule>
          <xm:sqref>A14:J23</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0"/>
  <sheetViews>
    <sheetView workbookViewId="0">
      <selection sqref="A1:F1"/>
    </sheetView>
  </sheetViews>
  <sheetFormatPr defaultRowHeight="14.25"/>
  <cols>
    <col min="1" max="1" width="14.5" bestFit="1" customWidth="1"/>
    <col min="2" max="2" width="18" customWidth="1"/>
    <col min="3" max="3" width="20" customWidth="1"/>
    <col min="4" max="5" width="16" customWidth="1"/>
    <col min="6" max="6" width="14" customWidth="1"/>
  </cols>
  <sheetData>
    <row r="1" spans="1:6" ht="18">
      <c r="A1" s="39" t="s">
        <v>52</v>
      </c>
      <c r="B1" s="38"/>
      <c r="C1" s="38"/>
      <c r="D1" s="38"/>
      <c r="E1" s="38"/>
      <c r="F1" s="38"/>
    </row>
    <row r="3" spans="1:6">
      <c r="A3" s="32" t="s">
        <v>53</v>
      </c>
      <c r="B3" s="38"/>
      <c r="C3" s="38"/>
      <c r="D3" s="38"/>
      <c r="E3" s="38"/>
      <c r="F3" s="38"/>
    </row>
    <row r="4" spans="1:6">
      <c r="A4" s="38"/>
      <c r="B4" s="38"/>
      <c r="C4" s="38"/>
      <c r="D4" s="38"/>
      <c r="E4" s="38"/>
      <c r="F4" s="38"/>
    </row>
    <row r="6" spans="1:6" ht="15">
      <c r="A6" s="16" t="s">
        <v>76</v>
      </c>
      <c r="B6" s="16" t="s">
        <v>46</v>
      </c>
      <c r="C6" s="16" t="s">
        <v>54</v>
      </c>
      <c r="D6" s="16" t="s">
        <v>55</v>
      </c>
      <c r="E6" s="16" t="s">
        <v>56</v>
      </c>
      <c r="F6" s="16" t="s">
        <v>57</v>
      </c>
    </row>
    <row r="7" spans="1:6">
      <c r="A7" s="24">
        <f>EDATE('Start Here'!$H$10,0)</f>
        <v>46207</v>
      </c>
      <c r="B7" s="18">
        <f>'Start Here'!$B$11</f>
        <v>31550</v>
      </c>
      <c r="C7" s="17"/>
      <c r="D7" s="17"/>
      <c r="E7" s="18" t="str">
        <f t="shared" ref="E7:E30" si="0">IF(C7="","",B7-C7)</f>
        <v/>
      </c>
      <c r="F7" s="25" t="str">
        <f>IF(C7="","",IFERROR(('Start Here'!$B$11-C7)/'Start Here'!$B$11,""))</f>
        <v/>
      </c>
    </row>
    <row r="8" spans="1:6">
      <c r="A8" s="24">
        <f>EDATE('Start Here'!$H$10,1)</f>
        <v>46238</v>
      </c>
      <c r="B8" s="18" t="str">
        <f t="shared" ref="B8:B30" si="1">IF(C7="","",C7)</f>
        <v/>
      </c>
      <c r="C8" s="17"/>
      <c r="D8" s="17"/>
      <c r="E8" s="18" t="str">
        <f t="shared" si="0"/>
        <v/>
      </c>
      <c r="F8" s="25" t="str">
        <f>IF(C8="","",IFERROR(('Start Here'!$B$11-C8)/'Start Here'!$B$11,""))</f>
        <v/>
      </c>
    </row>
    <row r="9" spans="1:6">
      <c r="A9" s="24">
        <f>EDATE('Start Here'!$H$10,2)</f>
        <v>46269</v>
      </c>
      <c r="B9" s="18" t="str">
        <f t="shared" si="1"/>
        <v/>
      </c>
      <c r="C9" s="17"/>
      <c r="D9" s="17"/>
      <c r="E9" s="18" t="str">
        <f t="shared" si="0"/>
        <v/>
      </c>
      <c r="F9" s="25" t="str">
        <f>IF(C9="","",IFERROR(('Start Here'!$B$11-C9)/'Start Here'!$B$11,""))</f>
        <v/>
      </c>
    </row>
    <row r="10" spans="1:6">
      <c r="A10" s="24">
        <f>EDATE('Start Here'!$H$10,3)</f>
        <v>46299</v>
      </c>
      <c r="B10" s="18" t="str">
        <f t="shared" si="1"/>
        <v/>
      </c>
      <c r="C10" s="17"/>
      <c r="D10" s="17"/>
      <c r="E10" s="18" t="str">
        <f t="shared" si="0"/>
        <v/>
      </c>
      <c r="F10" s="25" t="str">
        <f>IF(C10="","",IFERROR(('Start Here'!$B$11-C10)/'Start Here'!$B$11,""))</f>
        <v/>
      </c>
    </row>
    <row r="11" spans="1:6">
      <c r="A11" s="24">
        <f>EDATE('Start Here'!$H$10,4)</f>
        <v>46330</v>
      </c>
      <c r="B11" s="18" t="str">
        <f t="shared" si="1"/>
        <v/>
      </c>
      <c r="C11" s="17"/>
      <c r="D11" s="17"/>
      <c r="E11" s="18" t="str">
        <f t="shared" si="0"/>
        <v/>
      </c>
      <c r="F11" s="25" t="str">
        <f>IF(C11="","",IFERROR(('Start Here'!$B$11-C11)/'Start Here'!$B$11,""))</f>
        <v/>
      </c>
    </row>
    <row r="12" spans="1:6">
      <c r="A12" s="24">
        <f>EDATE('Start Here'!$H$10,5)</f>
        <v>46360</v>
      </c>
      <c r="B12" s="18" t="str">
        <f t="shared" si="1"/>
        <v/>
      </c>
      <c r="C12" s="17"/>
      <c r="D12" s="17"/>
      <c r="E12" s="18" t="str">
        <f t="shared" si="0"/>
        <v/>
      </c>
      <c r="F12" s="25" t="str">
        <f>IF(C12="","",IFERROR(('Start Here'!$B$11-C12)/'Start Here'!$B$11,""))</f>
        <v/>
      </c>
    </row>
    <row r="13" spans="1:6">
      <c r="A13" s="24">
        <f>EDATE('Start Here'!$H$10,6)</f>
        <v>46391</v>
      </c>
      <c r="B13" s="18" t="str">
        <f t="shared" si="1"/>
        <v/>
      </c>
      <c r="C13" s="17"/>
      <c r="D13" s="17"/>
      <c r="E13" s="18" t="str">
        <f t="shared" si="0"/>
        <v/>
      </c>
      <c r="F13" s="25" t="str">
        <f>IF(C13="","",IFERROR(('Start Here'!$B$11-C13)/'Start Here'!$B$11,""))</f>
        <v/>
      </c>
    </row>
    <row r="14" spans="1:6">
      <c r="A14" s="24">
        <f>EDATE('Start Here'!$H$10,7)</f>
        <v>46422</v>
      </c>
      <c r="B14" s="18" t="str">
        <f t="shared" si="1"/>
        <v/>
      </c>
      <c r="C14" s="17"/>
      <c r="D14" s="17"/>
      <c r="E14" s="18" t="str">
        <f t="shared" si="0"/>
        <v/>
      </c>
      <c r="F14" s="25" t="str">
        <f>IF(C14="","",IFERROR(('Start Here'!$B$11-C14)/'Start Here'!$B$11,""))</f>
        <v/>
      </c>
    </row>
    <row r="15" spans="1:6">
      <c r="A15" s="24">
        <f>EDATE('Start Here'!$H$10,8)</f>
        <v>46450</v>
      </c>
      <c r="B15" s="18" t="str">
        <f t="shared" si="1"/>
        <v/>
      </c>
      <c r="C15" s="17"/>
      <c r="D15" s="17"/>
      <c r="E15" s="18" t="str">
        <f t="shared" si="0"/>
        <v/>
      </c>
      <c r="F15" s="25" t="str">
        <f>IF(C15="","",IFERROR(('Start Here'!$B$11-C15)/'Start Here'!$B$11,""))</f>
        <v/>
      </c>
    </row>
    <row r="16" spans="1:6">
      <c r="A16" s="24">
        <f>EDATE('Start Here'!$H$10,9)</f>
        <v>46481</v>
      </c>
      <c r="B16" s="18" t="str">
        <f t="shared" si="1"/>
        <v/>
      </c>
      <c r="C16" s="17"/>
      <c r="D16" s="17"/>
      <c r="E16" s="18" t="str">
        <f t="shared" si="0"/>
        <v/>
      </c>
      <c r="F16" s="25" t="str">
        <f>IF(C16="","",IFERROR(('Start Here'!$B$11-C16)/'Start Here'!$B$11,""))</f>
        <v/>
      </c>
    </row>
    <row r="17" spans="1:6">
      <c r="A17" s="24">
        <f>EDATE('Start Here'!$H$10,10)</f>
        <v>46511</v>
      </c>
      <c r="B17" s="18" t="str">
        <f t="shared" si="1"/>
        <v/>
      </c>
      <c r="C17" s="17"/>
      <c r="D17" s="17"/>
      <c r="E17" s="18" t="str">
        <f t="shared" si="0"/>
        <v/>
      </c>
      <c r="F17" s="25" t="str">
        <f>IF(C17="","",IFERROR(('Start Here'!$B$11-C17)/'Start Here'!$B$11,""))</f>
        <v/>
      </c>
    </row>
    <row r="18" spans="1:6">
      <c r="A18" s="24">
        <f>EDATE('Start Here'!$H$10,11)</f>
        <v>46542</v>
      </c>
      <c r="B18" s="18" t="str">
        <f t="shared" si="1"/>
        <v/>
      </c>
      <c r="C18" s="17"/>
      <c r="D18" s="17"/>
      <c r="E18" s="18" t="str">
        <f t="shared" si="0"/>
        <v/>
      </c>
      <c r="F18" s="25" t="str">
        <f>IF(C18="","",IFERROR(('Start Here'!$B$11-C18)/'Start Here'!$B$11,""))</f>
        <v/>
      </c>
    </row>
    <row r="19" spans="1:6">
      <c r="A19" s="24">
        <f>EDATE('Start Here'!$H$10,12)</f>
        <v>46572</v>
      </c>
      <c r="B19" s="18" t="str">
        <f t="shared" si="1"/>
        <v/>
      </c>
      <c r="C19" s="17"/>
      <c r="D19" s="17"/>
      <c r="E19" s="18" t="str">
        <f t="shared" si="0"/>
        <v/>
      </c>
      <c r="F19" s="25" t="str">
        <f>IF(C19="","",IFERROR(('Start Here'!$B$11-C19)/'Start Here'!$B$11,""))</f>
        <v/>
      </c>
    </row>
    <row r="20" spans="1:6">
      <c r="A20" s="24">
        <f>EDATE('Start Here'!$H$10,13)</f>
        <v>46603</v>
      </c>
      <c r="B20" s="18" t="str">
        <f t="shared" si="1"/>
        <v/>
      </c>
      <c r="C20" s="17"/>
      <c r="D20" s="17"/>
      <c r="E20" s="18" t="str">
        <f t="shared" si="0"/>
        <v/>
      </c>
      <c r="F20" s="25" t="str">
        <f>IF(C20="","",IFERROR(('Start Here'!$B$11-C20)/'Start Here'!$B$11,""))</f>
        <v/>
      </c>
    </row>
    <row r="21" spans="1:6">
      <c r="A21" s="24">
        <f>EDATE('Start Here'!$H$10,14)</f>
        <v>46634</v>
      </c>
      <c r="B21" s="18" t="str">
        <f t="shared" si="1"/>
        <v/>
      </c>
      <c r="C21" s="17"/>
      <c r="D21" s="17"/>
      <c r="E21" s="18" t="str">
        <f t="shared" si="0"/>
        <v/>
      </c>
      <c r="F21" s="25" t="str">
        <f>IF(C21="","",IFERROR(('Start Here'!$B$11-C21)/'Start Here'!$B$11,""))</f>
        <v/>
      </c>
    </row>
    <row r="22" spans="1:6">
      <c r="A22" s="24">
        <f>EDATE('Start Here'!$H$10,15)</f>
        <v>46664</v>
      </c>
      <c r="B22" s="18" t="str">
        <f t="shared" si="1"/>
        <v/>
      </c>
      <c r="C22" s="17"/>
      <c r="D22" s="17"/>
      <c r="E22" s="18" t="str">
        <f t="shared" si="0"/>
        <v/>
      </c>
      <c r="F22" s="25" t="str">
        <f>IF(C22="","",IFERROR(('Start Here'!$B$11-C22)/'Start Here'!$B$11,""))</f>
        <v/>
      </c>
    </row>
    <row r="23" spans="1:6">
      <c r="A23" s="24">
        <f>EDATE('Start Here'!$H$10,16)</f>
        <v>46695</v>
      </c>
      <c r="B23" s="18" t="str">
        <f t="shared" si="1"/>
        <v/>
      </c>
      <c r="C23" s="17"/>
      <c r="D23" s="17"/>
      <c r="E23" s="18" t="str">
        <f t="shared" si="0"/>
        <v/>
      </c>
      <c r="F23" s="25" t="str">
        <f>IF(C23="","",IFERROR(('Start Here'!$B$11-C23)/'Start Here'!$B$11,""))</f>
        <v/>
      </c>
    </row>
    <row r="24" spans="1:6">
      <c r="A24" s="24">
        <f>EDATE('Start Here'!$H$10,17)</f>
        <v>46725</v>
      </c>
      <c r="B24" s="18" t="str">
        <f t="shared" si="1"/>
        <v/>
      </c>
      <c r="C24" s="17"/>
      <c r="D24" s="17"/>
      <c r="E24" s="18" t="str">
        <f t="shared" si="0"/>
        <v/>
      </c>
      <c r="F24" s="25" t="str">
        <f>IF(C24="","",IFERROR(('Start Here'!$B$11-C24)/'Start Here'!$B$11,""))</f>
        <v/>
      </c>
    </row>
    <row r="25" spans="1:6">
      <c r="A25" s="24">
        <f>EDATE('Start Here'!$H$10,18)</f>
        <v>46756</v>
      </c>
      <c r="B25" s="18" t="str">
        <f t="shared" si="1"/>
        <v/>
      </c>
      <c r="C25" s="17"/>
      <c r="D25" s="17"/>
      <c r="E25" s="18" t="str">
        <f t="shared" si="0"/>
        <v/>
      </c>
      <c r="F25" s="25" t="str">
        <f>IF(C25="","",IFERROR(('Start Here'!$B$11-C25)/'Start Here'!$B$11,""))</f>
        <v/>
      </c>
    </row>
    <row r="26" spans="1:6">
      <c r="A26" s="24">
        <f>EDATE('Start Here'!$H$10,19)</f>
        <v>46787</v>
      </c>
      <c r="B26" s="18" t="str">
        <f t="shared" si="1"/>
        <v/>
      </c>
      <c r="C26" s="17"/>
      <c r="D26" s="17"/>
      <c r="E26" s="18" t="str">
        <f t="shared" si="0"/>
        <v/>
      </c>
      <c r="F26" s="25" t="str">
        <f>IF(C26="","",IFERROR(('Start Here'!$B$11-C26)/'Start Here'!$B$11,""))</f>
        <v/>
      </c>
    </row>
    <row r="27" spans="1:6">
      <c r="A27" s="24">
        <f>EDATE('Start Here'!$H$10,20)</f>
        <v>46816</v>
      </c>
      <c r="B27" s="18" t="str">
        <f t="shared" si="1"/>
        <v/>
      </c>
      <c r="C27" s="17"/>
      <c r="D27" s="17"/>
      <c r="E27" s="18" t="str">
        <f t="shared" si="0"/>
        <v/>
      </c>
      <c r="F27" s="25" t="str">
        <f>IF(C27="","",IFERROR(('Start Here'!$B$11-C27)/'Start Here'!$B$11,""))</f>
        <v/>
      </c>
    </row>
    <row r="28" spans="1:6">
      <c r="A28" s="24">
        <f>EDATE('Start Here'!$H$10,21)</f>
        <v>46847</v>
      </c>
      <c r="B28" s="18" t="str">
        <f t="shared" si="1"/>
        <v/>
      </c>
      <c r="C28" s="17"/>
      <c r="D28" s="17"/>
      <c r="E28" s="18" t="str">
        <f t="shared" si="0"/>
        <v/>
      </c>
      <c r="F28" s="25" t="str">
        <f>IF(C28="","",IFERROR(('Start Here'!$B$11-C28)/'Start Here'!$B$11,""))</f>
        <v/>
      </c>
    </row>
    <row r="29" spans="1:6">
      <c r="A29" s="24">
        <f>EDATE('Start Here'!$H$10,22)</f>
        <v>46877</v>
      </c>
      <c r="B29" s="18" t="str">
        <f t="shared" si="1"/>
        <v/>
      </c>
      <c r="C29" s="17"/>
      <c r="D29" s="17"/>
      <c r="E29" s="18" t="str">
        <f t="shared" si="0"/>
        <v/>
      </c>
      <c r="F29" s="25" t="str">
        <f>IF(C29="","",IFERROR(('Start Here'!$B$11-C29)/'Start Here'!$B$11,""))</f>
        <v/>
      </c>
    </row>
    <row r="30" spans="1:6">
      <c r="A30" s="24">
        <f>EDATE('Start Here'!$H$10,23)</f>
        <v>46908</v>
      </c>
      <c r="B30" s="18" t="str">
        <f t="shared" si="1"/>
        <v/>
      </c>
      <c r="C30" s="17"/>
      <c r="D30" s="17"/>
      <c r="E30" s="18" t="str">
        <f t="shared" si="0"/>
        <v/>
      </c>
      <c r="F30" s="25" t="str">
        <f>IF(C30="","",IFERROR(('Start Here'!$B$11-C30)/'Start Here'!$B$11,""))</f>
        <v/>
      </c>
    </row>
  </sheetData>
  <mergeCells count="2">
    <mergeCell ref="A1:F1"/>
    <mergeCell ref="A3:F4"/>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2"/>
  <sheetViews>
    <sheetView workbookViewId="0">
      <selection sqref="A1:F1"/>
    </sheetView>
  </sheetViews>
  <sheetFormatPr defaultRowHeight="14.25"/>
  <cols>
    <col min="1" max="1" width="115" customWidth="1"/>
  </cols>
  <sheetData>
    <row r="1" spans="1:6" ht="18">
      <c r="A1" s="39" t="s">
        <v>58</v>
      </c>
      <c r="B1" s="38"/>
      <c r="C1" s="38"/>
      <c r="D1" s="38"/>
      <c r="E1" s="38"/>
      <c r="F1" s="38"/>
    </row>
    <row r="3" spans="1:6" ht="15">
      <c r="A3" s="19" t="s">
        <v>59</v>
      </c>
    </row>
    <row r="4" spans="1:6">
      <c r="A4" s="11" t="s">
        <v>60</v>
      </c>
    </row>
    <row r="5" spans="1:6">
      <c r="A5" s="11" t="s">
        <v>61</v>
      </c>
    </row>
    <row r="6" spans="1:6">
      <c r="A6" s="11" t="s">
        <v>62</v>
      </c>
    </row>
    <row r="7" spans="1:6">
      <c r="A7" s="11" t="s">
        <v>63</v>
      </c>
    </row>
    <row r="8" spans="1:6">
      <c r="A8" s="11" t="s">
        <v>64</v>
      </c>
    </row>
    <row r="9" spans="1:6">
      <c r="A9" s="11" t="s">
        <v>65</v>
      </c>
    </row>
    <row r="10" spans="1:6">
      <c r="A10" s="11" t="s">
        <v>66</v>
      </c>
    </row>
    <row r="11" spans="1:6" ht="28.5">
      <c r="A11" s="11" t="s">
        <v>67</v>
      </c>
    </row>
    <row r="12" spans="1:6">
      <c r="A12" s="11" t="s">
        <v>68</v>
      </c>
    </row>
  </sheetData>
  <mergeCells count="1">
    <mergeCell ref="A1:F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9"/>
  <sheetViews>
    <sheetView workbookViewId="0"/>
  </sheetViews>
  <sheetFormatPr defaultRowHeight="14.25"/>
  <cols>
    <col min="1" max="5" width="24" customWidth="1"/>
  </cols>
  <sheetData>
    <row r="1" spans="1:5">
      <c r="A1" t="s">
        <v>22</v>
      </c>
      <c r="C1" t="s">
        <v>7</v>
      </c>
      <c r="E1" t="s">
        <v>69</v>
      </c>
    </row>
    <row r="2" spans="1:5">
      <c r="A2" t="s">
        <v>33</v>
      </c>
      <c r="C2" t="s">
        <v>8</v>
      </c>
    </row>
    <row r="3" spans="1:5">
      <c r="A3" t="s">
        <v>31</v>
      </c>
      <c r="C3" t="s">
        <v>70</v>
      </c>
    </row>
    <row r="4" spans="1:5">
      <c r="A4" t="s">
        <v>36</v>
      </c>
    </row>
    <row r="5" spans="1:5">
      <c r="A5" t="s">
        <v>40</v>
      </c>
    </row>
    <row r="6" spans="1:5">
      <c r="A6" t="s">
        <v>38</v>
      </c>
    </row>
    <row r="7" spans="1:5">
      <c r="A7" t="s">
        <v>71</v>
      </c>
    </row>
    <row r="8" spans="1:5">
      <c r="A8" t="s">
        <v>72</v>
      </c>
    </row>
    <row r="9" spans="1:5">
      <c r="A9"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Start Here</vt:lpstr>
      <vt:lpstr>Payoff Planner</vt:lpstr>
      <vt:lpstr>Monthly Progress</vt:lpstr>
      <vt:lpstr>Instructions</vt:lpstr>
      <vt:lpstr>Lists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 Rooney</dc:creator>
  <cp:lastModifiedBy>Tom Rooney</cp:lastModifiedBy>
  <dcterms:created xsi:type="dcterms:W3CDTF">2026-07-04T13:57:29Z</dcterms:created>
  <dcterms:modified xsi:type="dcterms:W3CDTF">2026-07-04T13:57:29Z</dcterms:modified>
</cp:coreProperties>
</file>